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RK-T-380L\Public_RW\LTC2945_accuracy\"/>
    </mc:Choice>
  </mc:AlternateContent>
  <bookViews>
    <workbookView xWindow="0" yWindow="0" windowWidth="19170" windowHeight="8100"/>
  </bookViews>
  <sheets>
    <sheet name="Sheet1" sheetId="2" r:id="rId1"/>
    <sheet name="Sheet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20" i="2"/>
  <c r="C36" i="2" l="1"/>
  <c r="A36" i="2"/>
  <c r="B36" i="2"/>
  <c r="B19" i="5" l="1"/>
  <c r="D18" i="5"/>
  <c r="B18" i="5"/>
  <c r="W15" i="5" s="1"/>
  <c r="B17" i="5"/>
  <c r="W14" i="5" s="1"/>
  <c r="B16" i="5"/>
  <c r="D16" i="5" s="1"/>
  <c r="V15" i="5"/>
  <c r="U15" i="5"/>
  <c r="V14" i="5"/>
  <c r="R5" i="5"/>
  <c r="S5" i="5" s="1"/>
  <c r="Q5" i="5"/>
  <c r="R4" i="5"/>
  <c r="S4" i="5" s="1"/>
  <c r="R3" i="5"/>
  <c r="S3" i="5" s="1"/>
  <c r="Q3" i="5"/>
  <c r="U5" i="5" l="1"/>
  <c r="W5" i="5" s="1"/>
  <c r="X5" i="5"/>
  <c r="AA5" i="5"/>
  <c r="U3" i="5"/>
  <c r="U4" i="5"/>
  <c r="I33" i="5"/>
  <c r="I35" i="5" s="1"/>
  <c r="U2" i="5"/>
  <c r="Q4" i="5"/>
  <c r="V5" i="5"/>
  <c r="D17" i="5"/>
  <c r="D19" i="5"/>
  <c r="K29" i="5"/>
  <c r="R2" i="5"/>
  <c r="S2" i="5" s="1"/>
  <c r="Q5" i="2"/>
  <c r="Q6" i="2" l="1"/>
  <c r="I32" i="5"/>
  <c r="G12" i="5" s="1"/>
  <c r="G13" i="5" s="1"/>
  <c r="W4" i="5"/>
  <c r="V4" i="5"/>
  <c r="W3" i="5"/>
  <c r="R8" i="5"/>
  <c r="V3" i="5"/>
  <c r="W2" i="5"/>
  <c r="X2" i="5" s="1"/>
  <c r="V2" i="5"/>
  <c r="K33" i="5"/>
  <c r="Q7" i="2"/>
  <c r="B21" i="2"/>
  <c r="D20" i="2"/>
  <c r="B18" i="2"/>
  <c r="A23" i="2" s="1"/>
  <c r="D18" i="2" l="1"/>
  <c r="X4" i="5"/>
  <c r="AA4" i="5"/>
  <c r="X3" i="5"/>
  <c r="AA3" i="5"/>
  <c r="R4" i="2"/>
  <c r="R5" i="2"/>
  <c r="R40" i="2" s="1"/>
  <c r="S40" i="2" s="1"/>
  <c r="R6" i="2"/>
  <c r="R7" i="2"/>
  <c r="D19" i="2"/>
  <c r="D21" i="2"/>
  <c r="U4" i="2" l="1"/>
  <c r="U39" i="2" s="1"/>
  <c r="V39" i="2" s="1"/>
  <c r="R39" i="2"/>
  <c r="S39" i="2" s="1"/>
  <c r="U7" i="2"/>
  <c r="V7" i="2" s="1"/>
  <c r="U5" i="2"/>
  <c r="U40" i="2" s="1"/>
  <c r="V40" i="2" s="1"/>
  <c r="U6" i="2"/>
  <c r="U41" i="2" s="1"/>
  <c r="V41" i="2" s="1"/>
  <c r="S5" i="2"/>
  <c r="S4" i="2"/>
  <c r="S7" i="2"/>
  <c r="R42" i="2"/>
  <c r="S42" i="2" s="1"/>
  <c r="S6" i="2"/>
  <c r="R41" i="2"/>
  <c r="S41" i="2" s="1"/>
  <c r="R11" i="5"/>
  <c r="V4" i="2"/>
  <c r="W4" i="2"/>
  <c r="V5" i="2" l="1"/>
  <c r="V6" i="2"/>
  <c r="W5" i="2"/>
  <c r="W40" i="2" s="1"/>
  <c r="X40" i="2" s="1"/>
  <c r="W6" i="2"/>
  <c r="W41" i="2" s="1"/>
  <c r="X41" i="2" s="1"/>
  <c r="W7" i="2"/>
  <c r="W42" i="2" s="1"/>
  <c r="X42" i="2" s="1"/>
  <c r="U42" i="2"/>
  <c r="V42" i="2" s="1"/>
  <c r="X4" i="2"/>
  <c r="W39" i="2"/>
  <c r="X39" i="2" s="1"/>
  <c r="X7" i="2" l="1"/>
  <c r="X5" i="2"/>
  <c r="T13" i="2"/>
  <c r="T12" i="2"/>
  <c r="X6" i="2"/>
  <c r="T11" i="2"/>
  <c r="T15" i="2" l="1"/>
  <c r="G14" i="2" s="1"/>
  <c r="T45" i="2" s="1"/>
  <c r="B40" i="2" l="1"/>
  <c r="C40" i="2"/>
  <c r="D40" i="2"/>
  <c r="A40" i="2"/>
  <c r="G15" i="2"/>
</calcChain>
</file>

<file path=xl/comments1.xml><?xml version="1.0" encoding="utf-8"?>
<comments xmlns="http://schemas.openxmlformats.org/spreadsheetml/2006/main">
  <authors>
    <author>Hamza Afzal</author>
  </authors>
  <commentList>
    <comment ref="A40" authorId="0" shapeId="0">
      <text>
        <r>
          <rPr>
            <sz val="9"/>
            <color indexed="81"/>
            <rFont val="Tahoma"/>
            <family val="2"/>
          </rPr>
          <t>Min Current = (Maximum Voltage)/(Maximum Resistance)
NOTE: This is the gain added in addition to the adc error due to the resistor tolerance.</t>
        </r>
      </text>
    </comment>
    <comment ref="B40" authorId="0" shapeId="0">
      <text>
        <r>
          <rPr>
            <sz val="9"/>
            <color indexed="81"/>
            <rFont val="Tahoma"/>
            <family val="2"/>
          </rPr>
          <t>Ideal Resistor Current (MIN) = (Minimum Voltage Error)/(Ideal Resistor)
NOTE: This is the highest current error without resistor tolerance taken into account.</t>
        </r>
      </text>
    </comment>
    <comment ref="C40" authorId="0" shapeId="0">
      <text>
        <r>
          <rPr>
            <sz val="9"/>
            <color indexed="81"/>
            <rFont val="Tahoma"/>
            <family val="2"/>
          </rPr>
          <t>Ideal Resistor Current (MAX) = (Maximum Voltage Error)/(Ideal Resistor)
NOTE: This is the highest current error without resistor tolerance taken into account.</t>
        </r>
      </text>
    </comment>
    <comment ref="D40" authorId="0" shapeId="0">
      <text>
        <r>
          <rPr>
            <sz val="9"/>
            <color indexed="81"/>
            <rFont val="Tahoma"/>
            <family val="2"/>
          </rPr>
          <t>Maximum Current = (Maximum Voltage)/(Minimum Resistance)
NOTE: This is the gain added in addition to the adc error due to the resistor tolerance.</t>
        </r>
      </text>
    </comment>
  </commentList>
</comments>
</file>

<file path=xl/sharedStrings.xml><?xml version="1.0" encoding="utf-8"?>
<sst xmlns="http://schemas.openxmlformats.org/spreadsheetml/2006/main" count="94" uniqueCount="53">
  <si>
    <t>TUE</t>
  </si>
  <si>
    <t>VOS</t>
  </si>
  <si>
    <t>INL</t>
  </si>
  <si>
    <t>VFS</t>
  </si>
  <si>
    <t>RES</t>
  </si>
  <si>
    <t>LSB</t>
  </si>
  <si>
    <t>INPUT</t>
  </si>
  <si>
    <t>OUTPUT</t>
  </si>
  <si>
    <t>MIN</t>
  </si>
  <si>
    <t xml:space="preserve">TYP </t>
  </si>
  <si>
    <t>MAX</t>
  </si>
  <si>
    <t>NA</t>
  </si>
  <si>
    <t xml:space="preserve">Enter Desired Measurement Value </t>
  </si>
  <si>
    <t>% Error</t>
  </si>
  <si>
    <t>Numeric Error</t>
  </si>
  <si>
    <t>TUE+ LINE</t>
  </si>
  <si>
    <t>TUE- LINE</t>
  </si>
  <si>
    <t>X-Axis</t>
  </si>
  <si>
    <t>IDEAL</t>
  </si>
  <si>
    <t>SlopeLine +</t>
  </si>
  <si>
    <t>SlopeLine Neg</t>
  </si>
  <si>
    <t>POS INL</t>
  </si>
  <si>
    <t>NEG INL</t>
  </si>
  <si>
    <t>Resulting Error At Measurement Value</t>
  </si>
  <si>
    <t>IF(B11&gt;B18,)</t>
  </si>
  <si>
    <t>Voltage conversion</t>
  </si>
  <si>
    <t>NOTE: THE Entered Desired Measurement Value needs to be fixed.</t>
  </si>
  <si>
    <t>INL BUILD RATE</t>
  </si>
  <si>
    <t>V</t>
  </si>
  <si>
    <t>% of Full Scale</t>
  </si>
  <si>
    <t>MEASURED VALUE</t>
  </si>
  <si>
    <t>FOR CURRENT MEASUREMENT:</t>
  </si>
  <si>
    <t>RSENSE:</t>
  </si>
  <si>
    <t>TOLERENCE %:</t>
  </si>
  <si>
    <t>W</t>
  </si>
  <si>
    <t>%</t>
  </si>
  <si>
    <t>TYP</t>
  </si>
  <si>
    <t xml:space="preserve">Measured Value </t>
  </si>
  <si>
    <t>TUE ERROR CALCULATION CHART</t>
  </si>
  <si>
    <t>IDEAL RESISTOR (MIN)</t>
  </si>
  <si>
    <t>IDEAL RESISTOR (MAX)</t>
  </si>
  <si>
    <t>MIN CURRENT</t>
  </si>
  <si>
    <t>MAX CURRENT</t>
  </si>
  <si>
    <t>VFS (V)</t>
  </si>
  <si>
    <t>INL (LSB)</t>
  </si>
  <si>
    <t>VOS (LSB)</t>
  </si>
  <si>
    <t>TUE (%)</t>
  </si>
  <si>
    <t>RES (bits)</t>
  </si>
  <si>
    <t>INL BUILD RATE (%)</t>
  </si>
  <si>
    <t>Numeric Error (V)</t>
  </si>
  <si>
    <t xml:space="preserve">MIN </t>
  </si>
  <si>
    <r>
      <t>RESISTANCE RANGE (</t>
    </r>
    <r>
      <rPr>
        <b/>
        <sz val="11"/>
        <color theme="1"/>
        <rFont val="Symbol"/>
        <family val="1"/>
        <charset val="2"/>
      </rPr>
      <t>W):</t>
    </r>
  </si>
  <si>
    <t>RESULTING CURRENT ERROR AT MEASUREMENT VALUE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</si>
</sst>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2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5" fillId="5" borderId="5" applyNumberFormat="0" applyFont="0" applyAlignment="0" applyProtection="0"/>
  </cellStyleXfs>
  <cellXfs count="88">
    <xf numFmtId="0" fontId="0" fillId="0" borderId="0" xfId="0"/>
    <xf numFmtId="0" fontId="3" fillId="3" borderId="1" xfId="2" applyAlignment="1">
      <alignment horizontal="center"/>
    </xf>
    <xf numFmtId="0" fontId="3" fillId="3" borderId="1" xfId="2"/>
    <xf numFmtId="0" fontId="4" fillId="4" borderId="2" xfId="3"/>
    <xf numFmtId="11" fontId="0" fillId="0" borderId="0" xfId="0" applyNumberFormat="1"/>
    <xf numFmtId="0" fontId="3" fillId="5" borderId="5" xfId="4" applyFont="1" applyAlignment="1">
      <alignment horizontal="center"/>
    </xf>
    <xf numFmtId="11" fontId="3" fillId="5" borderId="5" xfId="4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3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4" borderId="14" xfId="3" applyBorder="1"/>
    <xf numFmtId="0" fontId="4" fillId="4" borderId="14" xfId="3" applyBorder="1" applyAlignment="1">
      <alignment horizontal="center"/>
    </xf>
    <xf numFmtId="0" fontId="7" fillId="0" borderId="0" xfId="0" applyFont="1" applyBorder="1"/>
    <xf numFmtId="0" fontId="1" fillId="0" borderId="0" xfId="0" applyFont="1" applyBorder="1"/>
    <xf numFmtId="0" fontId="4" fillId="4" borderId="17" xfId="3" applyBorder="1"/>
    <xf numFmtId="0" fontId="4" fillId="4" borderId="16" xfId="3" applyBorder="1"/>
    <xf numFmtId="0" fontId="0" fillId="0" borderId="7" xfId="0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11" fontId="0" fillId="0" borderId="0" xfId="0" applyNumberFormat="1" applyBorder="1" applyProtection="1">
      <protection hidden="1"/>
    </xf>
    <xf numFmtId="0" fontId="0" fillId="0" borderId="12" xfId="0" applyBorder="1" applyProtection="1">
      <protection hidden="1"/>
    </xf>
    <xf numFmtId="11" fontId="0" fillId="0" borderId="12" xfId="0" applyNumberFormat="1" applyBorder="1" applyProtection="1">
      <protection hidden="1"/>
    </xf>
    <xf numFmtId="0" fontId="0" fillId="0" borderId="13" xfId="0" applyBorder="1" applyProtection="1">
      <protection hidden="1"/>
    </xf>
    <xf numFmtId="0" fontId="4" fillId="4" borderId="14" xfId="3" applyBorder="1" applyAlignment="1">
      <alignment horizontal="center"/>
    </xf>
    <xf numFmtId="0" fontId="4" fillId="4" borderId="2" xfId="3" applyAlignment="1">
      <alignment horizontal="center"/>
    </xf>
    <xf numFmtId="48" fontId="0" fillId="0" borderId="10" xfId="0" applyNumberFormat="1" applyBorder="1" applyAlignment="1" applyProtection="1">
      <alignment horizontal="center"/>
      <protection hidden="1"/>
    </xf>
    <xf numFmtId="0" fontId="0" fillId="0" borderId="0" xfId="0"/>
    <xf numFmtId="11" fontId="4" fillId="4" borderId="2" xfId="3" applyNumberFormat="1" applyAlignment="1">
      <alignment horizontal="center"/>
    </xf>
    <xf numFmtId="48" fontId="4" fillId="4" borderId="2" xfId="3" applyNumberFormat="1" applyAlignment="1">
      <alignment horizontal="center"/>
    </xf>
    <xf numFmtId="0" fontId="10" fillId="0" borderId="9" xfId="0" applyFont="1" applyBorder="1"/>
    <xf numFmtId="0" fontId="9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center"/>
    </xf>
    <xf numFmtId="0" fontId="0" fillId="0" borderId="0" xfId="0"/>
    <xf numFmtId="48" fontId="4" fillId="4" borderId="14" xfId="3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4" borderId="14" xfId="3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48" fontId="4" fillId="4" borderId="15" xfId="3" applyNumberFormat="1" applyBorder="1" applyAlignment="1">
      <alignment horizontal="center"/>
    </xf>
    <xf numFmtId="0" fontId="4" fillId="4" borderId="14" xfId="3" applyNumberFormat="1" applyBorder="1" applyAlignment="1">
      <alignment horizontal="center"/>
    </xf>
    <xf numFmtId="0" fontId="4" fillId="4" borderId="3" xfId="3" applyBorder="1" applyAlignment="1">
      <alignment horizontal="center"/>
    </xf>
    <xf numFmtId="0" fontId="4" fillId="4" borderId="4" xfId="3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1" fontId="2" fillId="2" borderId="0" xfId="1" applyNumberFormat="1" applyAlignment="1">
      <alignment horizontal="center"/>
    </xf>
    <xf numFmtId="0" fontId="2" fillId="2" borderId="0" xfId="1" applyAlignment="1">
      <alignment horizontal="center"/>
    </xf>
    <xf numFmtId="0" fontId="4" fillId="4" borderId="2" xfId="3" applyAlignment="1">
      <alignment horizontal="center"/>
    </xf>
    <xf numFmtId="0" fontId="4" fillId="4" borderId="3" xfId="3" applyNumberFormat="1" applyBorder="1" applyAlignment="1">
      <alignment horizontal="center"/>
    </xf>
    <xf numFmtId="0" fontId="4" fillId="4" borderId="4" xfId="3" applyNumberFormat="1" applyBorder="1" applyAlignment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3" fillId="3" borderId="14" xfId="2" applyBorder="1" applyAlignment="1" applyProtection="1">
      <alignment horizontal="center"/>
      <protection locked="0"/>
    </xf>
    <xf numFmtId="0" fontId="3" fillId="5" borderId="14" xfId="4" applyFont="1" applyBorder="1" applyAlignment="1" applyProtection="1">
      <alignment horizontal="center"/>
      <protection locked="0"/>
    </xf>
    <xf numFmtId="11" fontId="3" fillId="5" borderId="14" xfId="4" applyNumberFormat="1" applyFont="1" applyBorder="1" applyAlignment="1" applyProtection="1">
      <alignment horizontal="center"/>
      <protection locked="0"/>
    </xf>
    <xf numFmtId="0" fontId="3" fillId="3" borderId="14" xfId="2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1" fontId="2" fillId="2" borderId="15" xfId="1" applyNumberFormat="1" applyBorder="1" applyAlignment="1" applyProtection="1">
      <alignment horizontal="center"/>
      <protection locked="0"/>
    </xf>
    <xf numFmtId="0" fontId="2" fillId="2" borderId="15" xfId="1" applyBorder="1" applyAlignment="1" applyProtection="1">
      <alignment horizontal="center"/>
      <protection locked="0"/>
    </xf>
    <xf numFmtId="0" fontId="3" fillId="5" borderId="14" xfId="4" applyFont="1" applyBorder="1" applyProtection="1">
      <protection locked="0"/>
    </xf>
    <xf numFmtId="0" fontId="6" fillId="5" borderId="14" xfId="4" applyFont="1" applyBorder="1" applyProtection="1">
      <protection locked="0"/>
    </xf>
    <xf numFmtId="0" fontId="0" fillId="5" borderId="14" xfId="4" applyFont="1" applyBorder="1" applyProtection="1">
      <protection locked="0"/>
    </xf>
    <xf numFmtId="0" fontId="0" fillId="0" borderId="6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8" xfId="0" applyBorder="1" applyProtection="1">
      <protection hidden="1"/>
    </xf>
    <xf numFmtId="48" fontId="0" fillId="0" borderId="0" xfId="0" applyNumberFormat="1" applyBorder="1" applyProtection="1">
      <protection hidden="1"/>
    </xf>
    <xf numFmtId="0" fontId="2" fillId="2" borderId="0" xfId="1" applyBorder="1" applyProtection="1">
      <protection locked="0"/>
    </xf>
  </cellXfs>
  <cellStyles count="5">
    <cellStyle name="Good" xfId="1" builtinId="26"/>
    <cellStyle name="Input" xfId="2" builtinId="20"/>
    <cellStyle name="Normal" xfId="0" builtinId="0"/>
    <cellStyle name="Note" xfId="4" builtinId="10"/>
    <cellStyle name="Output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Error</a:t>
            </a:r>
            <a:r>
              <a:rPr lang="en-US" b="1" baseline="0"/>
              <a:t> Voltage Vs Input Voltage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+OFFSET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Sheet1!$U$4:$U$7</c:f>
              <c:numCache>
                <c:formatCode>General</c:formatCode>
                <c:ptCount val="4"/>
                <c:pt idx="0">
                  <c:v>5.2512820512820517E-5</c:v>
                </c:pt>
                <c:pt idx="1">
                  <c:v>1.6201025641025431E-4</c:v>
                </c:pt>
                <c:pt idx="2">
                  <c:v>4.9050256410255566E-4</c:v>
                </c:pt>
                <c:pt idx="3" formatCode="##0.0E+0">
                  <c:v>5.9999999999998943E-4</c:v>
                </c:pt>
              </c:numCache>
            </c:numRef>
          </c:yVal>
          <c:smooth val="0"/>
        </c:ser>
        <c:ser>
          <c:idx val="1"/>
          <c:order val="1"/>
          <c:tx>
            <c:v>"-OFFSET"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Sheet1!$V$4:$V$7</c:f>
              <c:numCache>
                <c:formatCode>General</c:formatCode>
                <c:ptCount val="4"/>
                <c:pt idx="0">
                  <c:v>-5.2512820512820517E-5</c:v>
                </c:pt>
                <c:pt idx="1">
                  <c:v>-1.6201025641025431E-4</c:v>
                </c:pt>
                <c:pt idx="2">
                  <c:v>-4.9050256410255566E-4</c:v>
                </c:pt>
                <c:pt idx="3">
                  <c:v>-5.9999999999998943E-4</c:v>
                </c:pt>
              </c:numCache>
            </c:numRef>
          </c:yVal>
          <c:smooth val="0"/>
        </c:ser>
        <c:ser>
          <c:idx val="2"/>
          <c:order val="2"/>
          <c:tx>
            <c:v>"+TUE"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Sheet1!$R$4:$R$7</c:f>
              <c:numCache>
                <c:formatCode>General</c:formatCode>
                <c:ptCount val="4"/>
                <c:pt idx="0">
                  <c:v>6.1439999999999997E-4</c:v>
                </c:pt>
                <c:pt idx="1">
                  <c:v>6.1439999999999997E-4</c:v>
                </c:pt>
                <c:pt idx="2">
                  <c:v>6.1439999999999997E-4</c:v>
                </c:pt>
                <c:pt idx="3">
                  <c:v>6.1439999999999997E-4</c:v>
                </c:pt>
              </c:numCache>
            </c:numRef>
          </c:yVal>
          <c:smooth val="0"/>
        </c:ser>
        <c:ser>
          <c:idx val="3"/>
          <c:order val="3"/>
          <c:tx>
            <c:v>"-TUE"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Sheet1!$S$4:$S$7</c:f>
              <c:numCache>
                <c:formatCode>General</c:formatCode>
                <c:ptCount val="4"/>
                <c:pt idx="0">
                  <c:v>-6.1439999999999997E-4</c:v>
                </c:pt>
                <c:pt idx="1">
                  <c:v>-6.1439999999999997E-4</c:v>
                </c:pt>
                <c:pt idx="2">
                  <c:v>-6.1439999999999997E-4</c:v>
                </c:pt>
                <c:pt idx="3">
                  <c:v>-6.1439999999999997E-4</c:v>
                </c:pt>
              </c:numCache>
            </c:numRef>
          </c:yVal>
          <c:smooth val="0"/>
        </c:ser>
        <c:ser>
          <c:idx val="4"/>
          <c:order val="4"/>
          <c:tx>
            <c:v>"+INL"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Sheet1!$W$4:$W$7</c:f>
              <c:numCache>
                <c:formatCode>General</c:formatCode>
                <c:ptCount val="4"/>
                <c:pt idx="0">
                  <c:v>5.2512820512820517E-5</c:v>
                </c:pt>
                <c:pt idx="1">
                  <c:v>2.2452551892551681E-4</c:v>
                </c:pt>
                <c:pt idx="2">
                  <c:v>5.5301782661781819E-4</c:v>
                </c:pt>
                <c:pt idx="3">
                  <c:v>6.1439999999999997E-4</c:v>
                </c:pt>
              </c:numCache>
            </c:numRef>
          </c:yVal>
          <c:smooth val="0"/>
        </c:ser>
        <c:ser>
          <c:idx val="5"/>
          <c:order val="5"/>
          <c:tx>
            <c:v>"-INL"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Sheet1!$X$4:$X$7</c:f>
              <c:numCache>
                <c:formatCode>General</c:formatCode>
                <c:ptCount val="4"/>
                <c:pt idx="0">
                  <c:v>-5.2512820512820517E-5</c:v>
                </c:pt>
                <c:pt idx="1">
                  <c:v>-2.2452551892551681E-4</c:v>
                </c:pt>
                <c:pt idx="2">
                  <c:v>-5.5301782661781819E-4</c:v>
                </c:pt>
                <c:pt idx="3">
                  <c:v>-6.1439999999999997E-4</c:v>
                </c:pt>
              </c:numCache>
            </c:numRef>
          </c:yVal>
          <c:smooth val="0"/>
        </c:ser>
        <c:ser>
          <c:idx val="6"/>
          <c:order val="6"/>
          <c:tx>
            <c:v>"Ideal"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Sheet1!$T$4:$T$7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v>Measured Value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0506741448942088"/>
                  <c:y val="-9.25001124947380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0.00E+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xVal>
            <c:numRef>
              <c:f>Sheet1!$B$14</c:f>
              <c:numCache>
                <c:formatCode>0.00E+00</c:formatCode>
                <c:ptCount val="1"/>
                <c:pt idx="0">
                  <c:v>0.1</c:v>
                </c:pt>
              </c:numCache>
            </c:numRef>
          </c:xVal>
          <c:yVal>
            <c:numRef>
              <c:f>Sheet1!$G$14</c:f>
              <c:numCache>
                <c:formatCode>##0.0E+0</c:formatCode>
                <c:ptCount val="1"/>
                <c:pt idx="0">
                  <c:v>6.0720677655677559E-4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57688"/>
        <c:axId val="507358080"/>
      </c:scatterChart>
      <c:valAx>
        <c:axId val="507357688"/>
        <c:scaling>
          <c:orientation val="minMax"/>
          <c:max val="0.110000000000000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Full</a:t>
                </a:r>
                <a:r>
                  <a:rPr lang="en-US" baseline="0"/>
                  <a:t> Scale Voltage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#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58080"/>
        <c:crosses val="autoZero"/>
        <c:crossBetween val="midCat"/>
      </c:valAx>
      <c:valAx>
        <c:axId val="50735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Voltage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#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57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Max</a:t>
            </a:r>
            <a:r>
              <a:rPr lang="en-US" b="1" baseline="0"/>
              <a:t> </a:t>
            </a:r>
            <a:r>
              <a:rPr lang="en-US" b="1"/>
              <a:t>Error</a:t>
            </a:r>
            <a:r>
              <a:rPr lang="en-US" b="1" baseline="0"/>
              <a:t> Current (A) Vs Input Voltage (V) (ideal sense resistor)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+OFFSET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Sheet1!$U$39:$U$42</c:f>
              <c:numCache>
                <c:formatCode>General</c:formatCode>
                <c:ptCount val="4"/>
                <c:pt idx="0">
                  <c:v>5.2512820512820519E-3</c:v>
                </c:pt>
                <c:pt idx="1">
                  <c:v>1.6201025641025431E-2</c:v>
                </c:pt>
                <c:pt idx="2">
                  <c:v>4.9050256410255566E-2</c:v>
                </c:pt>
                <c:pt idx="3">
                  <c:v>5.9999999999998943E-2</c:v>
                </c:pt>
              </c:numCache>
            </c:numRef>
          </c:yVal>
          <c:smooth val="0"/>
        </c:ser>
        <c:ser>
          <c:idx val="1"/>
          <c:order val="1"/>
          <c:tx>
            <c:v>""-OFFSET""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Sheet1!$V$39:$V$42</c:f>
              <c:numCache>
                <c:formatCode>General</c:formatCode>
                <c:ptCount val="4"/>
                <c:pt idx="0">
                  <c:v>-5.2512820512820519E-3</c:v>
                </c:pt>
                <c:pt idx="1">
                  <c:v>-1.6201025641025431E-2</c:v>
                </c:pt>
                <c:pt idx="2">
                  <c:v>-4.9050256410255566E-2</c:v>
                </c:pt>
                <c:pt idx="3">
                  <c:v>-5.9999999999998943E-2</c:v>
                </c:pt>
              </c:numCache>
            </c:numRef>
          </c:yVal>
          <c:smooth val="0"/>
        </c:ser>
        <c:ser>
          <c:idx val="2"/>
          <c:order val="2"/>
          <c:tx>
            <c:v>"+TUE"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Sheet1!$R$39:$R$42</c:f>
              <c:numCache>
                <c:formatCode>General</c:formatCode>
                <c:ptCount val="4"/>
                <c:pt idx="0">
                  <c:v>6.1439999999999995E-2</c:v>
                </c:pt>
                <c:pt idx="1">
                  <c:v>6.1439999999999995E-2</c:v>
                </c:pt>
                <c:pt idx="2">
                  <c:v>6.1439999999999995E-2</c:v>
                </c:pt>
                <c:pt idx="3">
                  <c:v>6.1439999999999995E-2</c:v>
                </c:pt>
              </c:numCache>
            </c:numRef>
          </c:yVal>
          <c:smooth val="0"/>
        </c:ser>
        <c:ser>
          <c:idx val="3"/>
          <c:order val="3"/>
          <c:tx>
            <c:v>"-TUE"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Sheet1!$S$39:$S$42</c:f>
              <c:numCache>
                <c:formatCode>General</c:formatCode>
                <c:ptCount val="4"/>
                <c:pt idx="0">
                  <c:v>-6.1439999999999995E-2</c:v>
                </c:pt>
                <c:pt idx="1">
                  <c:v>-6.1439999999999995E-2</c:v>
                </c:pt>
                <c:pt idx="2">
                  <c:v>-6.1439999999999995E-2</c:v>
                </c:pt>
                <c:pt idx="3">
                  <c:v>-6.1439999999999995E-2</c:v>
                </c:pt>
              </c:numCache>
            </c:numRef>
          </c:yVal>
          <c:smooth val="0"/>
        </c:ser>
        <c:ser>
          <c:idx val="4"/>
          <c:order val="4"/>
          <c:tx>
            <c:v>"+INL"</c:v>
          </c:tx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Sheet1!$W$39:$W$42</c:f>
              <c:numCache>
                <c:formatCode>General</c:formatCode>
                <c:ptCount val="4"/>
                <c:pt idx="0">
                  <c:v>5.2512820512820519E-3</c:v>
                </c:pt>
                <c:pt idx="1">
                  <c:v>2.245255189255168E-2</c:v>
                </c:pt>
                <c:pt idx="2">
                  <c:v>5.5301782661781818E-2</c:v>
                </c:pt>
                <c:pt idx="3">
                  <c:v>6.1439999999999995E-2</c:v>
                </c:pt>
              </c:numCache>
            </c:numRef>
          </c:yVal>
          <c:smooth val="0"/>
        </c:ser>
        <c:ser>
          <c:idx val="5"/>
          <c:order val="5"/>
          <c:tx>
            <c:v>"-INL"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Sheet1!$X$39:$X$42</c:f>
              <c:numCache>
                <c:formatCode>General</c:formatCode>
                <c:ptCount val="4"/>
                <c:pt idx="0">
                  <c:v>-5.2512820512820519E-3</c:v>
                </c:pt>
                <c:pt idx="1">
                  <c:v>-2.245255189255168E-2</c:v>
                </c:pt>
                <c:pt idx="2">
                  <c:v>-5.5301782661781818E-2</c:v>
                </c:pt>
                <c:pt idx="3">
                  <c:v>-6.1439999999999995E-2</c:v>
                </c:pt>
              </c:numCache>
            </c:numRef>
          </c:yVal>
          <c:smooth val="0"/>
        </c:ser>
        <c:ser>
          <c:idx val="6"/>
          <c:order val="6"/>
          <c:tx>
            <c:v>"Ideal"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Sheet1!$T$4:$T$7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v>Measured Value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1777593819815067E-2"/>
                  <c:y val="-9.10315449180438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xVal>
            <c:numRef>
              <c:f>Sheet1!$B$14</c:f>
              <c:numCache>
                <c:formatCode>0.00E+00</c:formatCode>
                <c:ptCount val="1"/>
                <c:pt idx="0">
                  <c:v>0.1</c:v>
                </c:pt>
              </c:numCache>
            </c:numRef>
          </c:xVal>
          <c:yVal>
            <c:numRef>
              <c:f>Sheet1!$C$40</c:f>
              <c:numCache>
                <c:formatCode>##0.0E+0</c:formatCode>
                <c:ptCount val="1"/>
                <c:pt idx="0">
                  <c:v>6.0720677655677235E-2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58864"/>
        <c:axId val="507359256"/>
      </c:scatterChart>
      <c:valAx>
        <c:axId val="507358864"/>
        <c:scaling>
          <c:orientation val="minMax"/>
          <c:max val="0.110000000000000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Full</a:t>
                </a:r>
                <a:r>
                  <a:rPr lang="en-US" baseline="0"/>
                  <a:t> Scale Voltage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#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59256"/>
        <c:crosses val="autoZero"/>
        <c:crossBetween val="midCat"/>
      </c:valAx>
      <c:valAx>
        <c:axId val="50735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</a:t>
                </a:r>
                <a:r>
                  <a:rPr lang="en-US" baseline="0"/>
                  <a:t> Current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#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58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548238531653776"/>
          <c:y val="0.3460309171466513"/>
          <c:w val="0.13288705563204914"/>
          <c:h val="0.361918617537552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</a:t>
            </a:r>
            <a:r>
              <a:rPr lang="en-US" baseline="0"/>
              <a:t> Voltage Vs Fullscale Voltage</a:t>
            </a:r>
            <a:endParaRPr lang="en-US"/>
          </a:p>
        </c:rich>
      </c:tx>
      <c:layout>
        <c:manualLayout>
          <c:xMode val="edge"/>
          <c:yMode val="edge"/>
          <c:x val="0.35863313236577515"/>
          <c:y val="1.040650299914187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+OFFSET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Sheet1!$U$4:$U$7</c:f>
              <c:numCache>
                <c:formatCode>General</c:formatCode>
                <c:ptCount val="4"/>
                <c:pt idx="0">
                  <c:v>5.2512820512820517E-5</c:v>
                </c:pt>
                <c:pt idx="1">
                  <c:v>1.6201025641025431E-4</c:v>
                </c:pt>
                <c:pt idx="2">
                  <c:v>4.9050256410255566E-4</c:v>
                </c:pt>
                <c:pt idx="3" formatCode="##0.0E+0">
                  <c:v>5.9999999999998943E-4</c:v>
                </c:pt>
              </c:numCache>
            </c:numRef>
          </c:yVal>
          <c:smooth val="0"/>
        </c:ser>
        <c:ser>
          <c:idx val="1"/>
          <c:order val="1"/>
          <c:tx>
            <c:v>"-OFFSET"</c:v>
          </c:tx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Sheet1!$V$4:$V$7</c:f>
            </c:numRef>
          </c:yVal>
          <c:smooth val="0"/>
        </c:ser>
        <c:ser>
          <c:idx val="2"/>
          <c:order val="2"/>
          <c:tx>
            <c:v>"+TUE"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Sheet1!$R$4:$R$7</c:f>
              <c:numCache>
                <c:formatCode>General</c:formatCode>
                <c:ptCount val="4"/>
                <c:pt idx="0">
                  <c:v>6.1439999999999997E-4</c:v>
                </c:pt>
                <c:pt idx="1">
                  <c:v>6.1439999999999997E-4</c:v>
                </c:pt>
                <c:pt idx="2">
                  <c:v>6.1439999999999997E-4</c:v>
                </c:pt>
                <c:pt idx="3">
                  <c:v>6.1439999999999997E-4</c:v>
                </c:pt>
              </c:numCache>
            </c:numRef>
          </c:yVal>
          <c:smooth val="0"/>
        </c:ser>
        <c:ser>
          <c:idx val="3"/>
          <c:order val="3"/>
          <c:tx>
            <c:v>"-TUE"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Sheet1!$S$4:$S$7</c:f>
              <c:numCache>
                <c:formatCode>General</c:formatCode>
                <c:ptCount val="4"/>
                <c:pt idx="0">
                  <c:v>-6.1439999999999997E-4</c:v>
                </c:pt>
                <c:pt idx="1">
                  <c:v>-6.1439999999999997E-4</c:v>
                </c:pt>
                <c:pt idx="2">
                  <c:v>-6.1439999999999997E-4</c:v>
                </c:pt>
                <c:pt idx="3">
                  <c:v>-6.1439999999999997E-4</c:v>
                </c:pt>
              </c:numCache>
            </c:numRef>
          </c:yVal>
          <c:smooth val="0"/>
        </c:ser>
        <c:ser>
          <c:idx val="4"/>
          <c:order val="4"/>
          <c:tx>
            <c:v>"+INL"</c:v>
          </c:tx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Sheet1!$W$4:$W$7</c:f>
            </c:numRef>
          </c:yVal>
          <c:smooth val="0"/>
        </c:ser>
        <c:ser>
          <c:idx val="5"/>
          <c:order val="5"/>
          <c:tx>
            <c:v>"-INL"</c:v>
          </c:tx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Sheet1!$X$4:$X$7</c:f>
            </c:numRef>
          </c:yVal>
          <c:smooth val="0"/>
        </c:ser>
        <c:ser>
          <c:idx val="6"/>
          <c:order val="6"/>
          <c:tx>
            <c:v>"Ideal"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Sheet1!$Q$4:$Q$7</c:f>
              <c:numCache>
                <c:formatCode>General</c:formatCode>
                <c:ptCount val="4"/>
                <c:pt idx="0">
                  <c:v>0</c:v>
                </c:pt>
                <c:pt idx="1">
                  <c:v>2.0480000000000002E-2</c:v>
                </c:pt>
                <c:pt idx="2">
                  <c:v>8.1920000000000007E-2</c:v>
                </c:pt>
                <c:pt idx="3">
                  <c:v>0.1024</c:v>
                </c:pt>
              </c:numCache>
            </c:numRef>
          </c:xVal>
          <c:yVal>
            <c:numRef>
              <c:f>Sheet1!$T$4:$T$7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v>Measured Value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4152042978666598E-2"/>
                  <c:y val="-0.1733569760341104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xVal>
            <c:numRef>
              <c:f>Sheet1!$B$14</c:f>
              <c:numCache>
                <c:formatCode>0.00E+00</c:formatCode>
                <c:ptCount val="1"/>
                <c:pt idx="0">
                  <c:v>0.1</c:v>
                </c:pt>
              </c:numCache>
            </c:numRef>
          </c:xVal>
          <c:yVal>
            <c:numRef>
              <c:f>Sheet1!$G$14</c:f>
              <c:numCache>
                <c:formatCode>##0.0E+0</c:formatCode>
                <c:ptCount val="1"/>
                <c:pt idx="0">
                  <c:v>6.0720677655677559E-4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518752"/>
        <c:axId val="510519144"/>
      </c:scatterChart>
      <c:valAx>
        <c:axId val="510518752"/>
        <c:scaling>
          <c:orientation val="minMax"/>
          <c:max val="0.110000000000000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Full</a:t>
                </a:r>
                <a:r>
                  <a:rPr lang="en-US" baseline="0"/>
                  <a:t> Scale Voltage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519144"/>
        <c:crosses val="autoZero"/>
        <c:crossBetween val="midCat"/>
      </c:valAx>
      <c:valAx>
        <c:axId val="51051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Voltage 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518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95251</xdr:colOff>
      <xdr:row>17</xdr:row>
      <xdr:rowOff>114300</xdr:rowOff>
    </xdr:from>
    <xdr:to>
      <xdr:col>5</xdr:col>
      <xdr:colOff>361950</xdr:colOff>
      <xdr:row>18</xdr:row>
      <xdr:rowOff>123825</xdr:rowOff>
    </xdr:to>
    <xdr:cxnSp macro="">
      <xdr:nvCxnSpPr>
        <xdr:cNvPr id="3" name="Straight Arrow Connector 2"/>
        <xdr:cNvCxnSpPr/>
      </xdr:nvCxnSpPr>
      <xdr:spPr>
        <a:xfrm flipH="1" flipV="1">
          <a:off x="2724151" y="2781300"/>
          <a:ext cx="876299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19</xdr:row>
      <xdr:rowOff>85725</xdr:rowOff>
    </xdr:from>
    <xdr:to>
      <xdr:col>4</xdr:col>
      <xdr:colOff>304800</xdr:colOff>
      <xdr:row>20</xdr:row>
      <xdr:rowOff>133350</xdr:rowOff>
    </xdr:to>
    <xdr:sp macro="" textlink="">
      <xdr:nvSpPr>
        <xdr:cNvPr id="4" name="Right Brace 3"/>
        <xdr:cNvSpPr/>
      </xdr:nvSpPr>
      <xdr:spPr>
        <a:xfrm>
          <a:off x="2819400" y="3133725"/>
          <a:ext cx="114300" cy="238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438150</xdr:colOff>
      <xdr:row>19</xdr:row>
      <xdr:rowOff>9525</xdr:rowOff>
    </xdr:from>
    <xdr:to>
      <xdr:col>5</xdr:col>
      <xdr:colOff>342900</xdr:colOff>
      <xdr:row>19</xdr:row>
      <xdr:rowOff>171450</xdr:rowOff>
    </xdr:to>
    <xdr:cxnSp macro="">
      <xdr:nvCxnSpPr>
        <xdr:cNvPr id="6" name="Straight Arrow Connector 5"/>
        <xdr:cNvCxnSpPr/>
      </xdr:nvCxnSpPr>
      <xdr:spPr>
        <a:xfrm flipH="1">
          <a:off x="3067050" y="3057525"/>
          <a:ext cx="51435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428625</xdr:colOff>
      <xdr:row>18</xdr:row>
      <xdr:rowOff>47625</xdr:rowOff>
    </xdr:from>
    <xdr:ext cx="1660647" cy="264560"/>
    <xdr:sp macro="" textlink="">
      <xdr:nvSpPr>
        <xdr:cNvPr id="9" name="TextBox 8"/>
        <xdr:cNvSpPr txBox="1"/>
      </xdr:nvSpPr>
      <xdr:spPr>
        <a:xfrm>
          <a:off x="3667125" y="2905125"/>
          <a:ext cx="1660647" cy="2645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TUE = VFSerror</a:t>
          </a:r>
          <a:r>
            <a:rPr lang="en-US" sz="1100" baseline="0"/>
            <a:t> + INLerror</a:t>
          </a:r>
          <a:endParaRPr lang="en-US" sz="1100"/>
        </a:p>
      </xdr:txBody>
    </xdr:sp>
    <xdr:clientData/>
  </xdr:oneCellAnchor>
  <xdr:twoCellAnchor>
    <xdr:from>
      <xdr:col>9</xdr:col>
      <xdr:colOff>34636</xdr:colOff>
      <xdr:row>2</xdr:row>
      <xdr:rowOff>30255</xdr:rowOff>
    </xdr:from>
    <xdr:to>
      <xdr:col>20</xdr:col>
      <xdr:colOff>794955</xdr:colOff>
      <xdr:row>26</xdr:row>
      <xdr:rowOff>191621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20913</xdr:colOff>
      <xdr:row>27</xdr:row>
      <xdr:rowOff>28751</xdr:rowOff>
    </xdr:from>
    <xdr:to>
      <xdr:col>20</xdr:col>
      <xdr:colOff>726396</xdr:colOff>
      <xdr:row>51</xdr:row>
      <xdr:rowOff>180857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19</xdr:col>
      <xdr:colOff>47224</xdr:colOff>
      <xdr:row>49</xdr:row>
      <xdr:rowOff>98679</xdr:rowOff>
    </xdr:from>
    <xdr:ext cx="1570424" cy="463908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6295" y="9909429"/>
          <a:ext cx="1570424" cy="46390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95251</xdr:colOff>
      <xdr:row>15</xdr:row>
      <xdr:rowOff>114300</xdr:rowOff>
    </xdr:from>
    <xdr:to>
      <xdr:col>5</xdr:col>
      <xdr:colOff>361950</xdr:colOff>
      <xdr:row>16</xdr:row>
      <xdr:rowOff>123825</xdr:rowOff>
    </xdr:to>
    <xdr:cxnSp macro="">
      <xdr:nvCxnSpPr>
        <xdr:cNvPr id="2" name="Straight Arrow Connector 1"/>
        <xdr:cNvCxnSpPr/>
      </xdr:nvCxnSpPr>
      <xdr:spPr>
        <a:xfrm flipH="1" flipV="1">
          <a:off x="2724151" y="2971800"/>
          <a:ext cx="876299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17</xdr:row>
      <xdr:rowOff>85725</xdr:rowOff>
    </xdr:from>
    <xdr:to>
      <xdr:col>4</xdr:col>
      <xdr:colOff>304800</xdr:colOff>
      <xdr:row>18</xdr:row>
      <xdr:rowOff>133350</xdr:rowOff>
    </xdr:to>
    <xdr:sp macro="" textlink="">
      <xdr:nvSpPr>
        <xdr:cNvPr id="3" name="Right Brace 2"/>
        <xdr:cNvSpPr/>
      </xdr:nvSpPr>
      <xdr:spPr>
        <a:xfrm>
          <a:off x="2819400" y="3324225"/>
          <a:ext cx="114300" cy="238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438150</xdr:colOff>
      <xdr:row>17</xdr:row>
      <xdr:rowOff>9525</xdr:rowOff>
    </xdr:from>
    <xdr:to>
      <xdr:col>5</xdr:col>
      <xdr:colOff>342900</xdr:colOff>
      <xdr:row>17</xdr:row>
      <xdr:rowOff>171450</xdr:rowOff>
    </xdr:to>
    <xdr:cxnSp macro="">
      <xdr:nvCxnSpPr>
        <xdr:cNvPr id="4" name="Straight Arrow Connector 3"/>
        <xdr:cNvCxnSpPr/>
      </xdr:nvCxnSpPr>
      <xdr:spPr>
        <a:xfrm flipH="1">
          <a:off x="3067050" y="3248025"/>
          <a:ext cx="51435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428625</xdr:colOff>
      <xdr:row>16</xdr:row>
      <xdr:rowOff>47625</xdr:rowOff>
    </xdr:from>
    <xdr:ext cx="1660647" cy="264560"/>
    <xdr:sp macro="" textlink="">
      <xdr:nvSpPr>
        <xdr:cNvPr id="5" name="TextBox 4"/>
        <xdr:cNvSpPr txBox="1"/>
      </xdr:nvSpPr>
      <xdr:spPr>
        <a:xfrm>
          <a:off x="3667125" y="3095625"/>
          <a:ext cx="1660647" cy="2645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TUE = VFSerror</a:t>
          </a:r>
          <a:r>
            <a:rPr lang="en-US" sz="1100" baseline="0"/>
            <a:t> + INLerror</a:t>
          </a:r>
          <a:endParaRPr lang="en-US" sz="1100"/>
        </a:p>
      </xdr:txBody>
    </xdr:sp>
    <xdr:clientData/>
  </xdr:oneCellAnchor>
  <xdr:twoCellAnchor>
    <xdr:from>
      <xdr:col>12</xdr:col>
      <xdr:colOff>140074</xdr:colOff>
      <xdr:row>24</xdr:row>
      <xdr:rowOff>56030</xdr:rowOff>
    </xdr:from>
    <xdr:to>
      <xdr:col>23</xdr:col>
      <xdr:colOff>468157</xdr:colOff>
      <xdr:row>49</xdr:row>
      <xdr:rowOff>175093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AA53"/>
  <sheetViews>
    <sheetView tabSelected="1" topLeftCell="A10" zoomScale="85" zoomScaleNormal="85" workbookViewId="0">
      <selection activeCell="H32" sqref="H32"/>
    </sheetView>
  </sheetViews>
  <sheetFormatPr defaultRowHeight="15" x14ac:dyDescent="0.25"/>
  <cols>
    <col min="1" max="2" width="20.85546875" customWidth="1"/>
    <col min="3" max="3" width="21.85546875" customWidth="1"/>
    <col min="4" max="4" width="23.140625" customWidth="1"/>
    <col min="9" max="9" width="20.28515625" customWidth="1"/>
    <col min="12" max="12" width="12.7109375" bestFit="1" customWidth="1"/>
    <col min="17" max="17" width="12" bestFit="1" customWidth="1"/>
    <col min="18" max="18" width="14" customWidth="1"/>
    <col min="19" max="19" width="12.5703125" customWidth="1"/>
    <col min="20" max="20" width="12.42578125" customWidth="1"/>
    <col min="21" max="21" width="12.140625" customWidth="1"/>
    <col min="22" max="22" width="17.42578125" hidden="1" customWidth="1"/>
    <col min="23" max="23" width="14.42578125" hidden="1" customWidth="1"/>
    <col min="24" max="24" width="15.42578125" hidden="1" customWidth="1"/>
    <col min="25" max="25" width="9.140625" hidden="1" customWidth="1"/>
  </cols>
  <sheetData>
    <row r="2" spans="1:27" ht="47.25" thickBot="1" x14ac:dyDescent="0.75">
      <c r="A2" s="16"/>
      <c r="B2" s="24"/>
      <c r="C2" s="25"/>
      <c r="D2" s="25"/>
      <c r="E2" s="46" t="s">
        <v>38</v>
      </c>
      <c r="F2" s="46"/>
      <c r="G2" s="46"/>
      <c r="H2" s="46"/>
      <c r="I2" s="46"/>
      <c r="J2" s="46"/>
      <c r="K2" s="46"/>
      <c r="L2" s="46"/>
      <c r="M2" s="46"/>
    </row>
    <row r="3" spans="1:27" x14ac:dyDescent="0.25">
      <c r="A3" s="67" t="s">
        <v>6</v>
      </c>
      <c r="B3" s="68"/>
      <c r="C3" s="68"/>
      <c r="D3" s="68"/>
      <c r="E3" s="14"/>
      <c r="F3" s="14"/>
      <c r="G3" s="14"/>
      <c r="H3" s="14"/>
      <c r="I3" s="15"/>
      <c r="J3" s="82"/>
      <c r="K3" s="28"/>
      <c r="L3" s="28"/>
      <c r="M3" s="28"/>
      <c r="N3" s="28"/>
      <c r="O3" s="28"/>
      <c r="P3" s="28"/>
      <c r="Q3" s="29" t="s">
        <v>17</v>
      </c>
      <c r="R3" s="29" t="s">
        <v>15</v>
      </c>
      <c r="S3" s="29" t="s">
        <v>16</v>
      </c>
      <c r="T3" s="29" t="s">
        <v>18</v>
      </c>
      <c r="U3" s="30" t="s">
        <v>19</v>
      </c>
      <c r="V3" s="10" t="s">
        <v>20</v>
      </c>
      <c r="W3" s="10" t="s">
        <v>21</v>
      </c>
      <c r="X3" s="10" t="s">
        <v>22</v>
      </c>
      <c r="Y3" s="9" t="s">
        <v>30</v>
      </c>
      <c r="Z3" s="9"/>
      <c r="AA3" s="10"/>
    </row>
    <row r="4" spans="1:27" x14ac:dyDescent="0.25">
      <c r="A4" s="69"/>
      <c r="B4" s="70"/>
      <c r="C4" s="70"/>
      <c r="D4" s="70"/>
      <c r="E4" s="16"/>
      <c r="F4" s="16"/>
      <c r="G4" s="16"/>
      <c r="H4" s="16"/>
      <c r="I4" s="17"/>
      <c r="J4" s="83"/>
      <c r="K4" s="31"/>
      <c r="L4" s="31"/>
      <c r="M4" s="31"/>
      <c r="N4" s="31"/>
      <c r="O4" s="31"/>
      <c r="P4" s="31"/>
      <c r="Q4" s="32">
        <v>0</v>
      </c>
      <c r="R4" s="32">
        <f>$B$18</f>
        <v>6.1439999999999997E-4</v>
      </c>
      <c r="S4" s="32">
        <f>-R4</f>
        <v>-6.1439999999999997E-4</v>
      </c>
      <c r="T4" s="32">
        <v>0</v>
      </c>
      <c r="U4" s="33">
        <f>IF(B19&gt;R4, R4, B19)</f>
        <v>5.2512820512820517E-5</v>
      </c>
      <c r="V4" s="9">
        <f>-U4</f>
        <v>-5.2512820512820517E-5</v>
      </c>
      <c r="W4" s="9">
        <f>0+U4</f>
        <v>5.2512820512820517E-5</v>
      </c>
      <c r="X4" s="9">
        <f>-W4</f>
        <v>-5.2512820512820517E-5</v>
      </c>
      <c r="Y4" s="9"/>
      <c r="Z4" s="9"/>
      <c r="AA4" s="9"/>
    </row>
    <row r="5" spans="1:27" ht="15.75" thickBot="1" x14ac:dyDescent="0.3">
      <c r="A5" s="71"/>
      <c r="B5" s="71" t="s">
        <v>8</v>
      </c>
      <c r="C5" s="71" t="s">
        <v>9</v>
      </c>
      <c r="D5" s="71" t="s">
        <v>10</v>
      </c>
      <c r="E5" s="16"/>
      <c r="F5" s="16"/>
      <c r="G5" s="16"/>
      <c r="H5" s="16"/>
      <c r="I5" s="17"/>
      <c r="J5" s="83"/>
      <c r="K5" s="31"/>
      <c r="L5" s="31"/>
      <c r="M5" s="31"/>
      <c r="N5" s="31"/>
      <c r="O5" s="31"/>
      <c r="P5" s="31"/>
      <c r="Q5" s="32">
        <f>C6*(C12/100)</f>
        <v>2.0480000000000002E-2</v>
      </c>
      <c r="R5" s="32">
        <f>$B$18</f>
        <v>6.1439999999999997E-4</v>
      </c>
      <c r="S5" s="32">
        <f>-R5</f>
        <v>-6.1439999999999997E-4</v>
      </c>
      <c r="T5" s="32">
        <v>0</v>
      </c>
      <c r="U5" s="33">
        <f>IF((((B20-B19)/C6)*Q5 + B19)&gt;R4, R4, ((B20-B19)/C6)*Q5 + B19)</f>
        <v>1.6201025641025431E-4</v>
      </c>
      <c r="V5" s="9">
        <f>-U5</f>
        <v>-1.6201025641025431E-4</v>
      </c>
      <c r="W5" s="9">
        <f>IF(U5+B21&gt;R4,R4, U5+ B21)</f>
        <v>2.2452551892551681E-4</v>
      </c>
      <c r="X5" s="9">
        <f>-W5</f>
        <v>-2.2452551892551681E-4</v>
      </c>
      <c r="Y5" s="9"/>
      <c r="Z5" s="9"/>
      <c r="AA5" s="11"/>
    </row>
    <row r="6" spans="1:27" x14ac:dyDescent="0.25">
      <c r="A6" s="71" t="s">
        <v>43</v>
      </c>
      <c r="B6" s="72">
        <v>0.1018</v>
      </c>
      <c r="C6" s="72">
        <v>0.1024</v>
      </c>
      <c r="D6" s="72">
        <v>0.10299999999999999</v>
      </c>
      <c r="E6" s="16"/>
      <c r="F6" s="16"/>
      <c r="G6" s="16"/>
      <c r="H6" s="16"/>
      <c r="I6" s="16"/>
      <c r="J6" s="82"/>
      <c r="K6" s="28"/>
      <c r="L6" s="28"/>
      <c r="M6" s="28"/>
      <c r="N6" s="28"/>
      <c r="O6" s="28"/>
      <c r="P6" s="28"/>
      <c r="Q6" s="29">
        <f>C6-(Q5)</f>
        <v>8.1920000000000007E-2</v>
      </c>
      <c r="R6" s="29">
        <f>$B$18</f>
        <v>6.1439999999999997E-4</v>
      </c>
      <c r="S6" s="29">
        <f>-R6</f>
        <v>-6.1439999999999997E-4</v>
      </c>
      <c r="T6" s="29">
        <v>0</v>
      </c>
      <c r="U6" s="30">
        <f>IF((((B20-B19)/C6)*Q6 + B19)&gt;R4, R4, ((B20-B19)/C6)*Q6 + B19)</f>
        <v>4.9050256410255566E-4</v>
      </c>
      <c r="V6" s="9">
        <f>-U6</f>
        <v>-4.9050256410255566E-4</v>
      </c>
      <c r="W6" s="9">
        <f>IF(U6+B21&gt;R4,R4, U6+ B21)</f>
        <v>5.5301782661781819E-4</v>
      </c>
      <c r="X6" s="9">
        <f>-W6</f>
        <v>-5.5301782661781819E-4</v>
      </c>
      <c r="Y6" s="9"/>
      <c r="Z6" s="9"/>
      <c r="AA6" s="11"/>
    </row>
    <row r="7" spans="1:27" x14ac:dyDescent="0.25">
      <c r="A7" s="71" t="s">
        <v>5</v>
      </c>
      <c r="B7" s="71" t="s">
        <v>11</v>
      </c>
      <c r="C7" s="73">
        <v>2.5000000000000001E-5</v>
      </c>
      <c r="D7" s="71" t="s">
        <v>11</v>
      </c>
      <c r="E7" s="16"/>
      <c r="F7" s="16"/>
      <c r="G7" s="16"/>
      <c r="H7" s="16"/>
      <c r="I7" s="16"/>
      <c r="J7" s="83"/>
      <c r="K7" s="31"/>
      <c r="L7" s="31"/>
      <c r="M7" s="31"/>
      <c r="N7" s="31"/>
      <c r="O7" s="31"/>
      <c r="P7" s="31"/>
      <c r="Q7" s="32">
        <f>C6</f>
        <v>0.1024</v>
      </c>
      <c r="R7" s="32">
        <f>$B$18</f>
        <v>6.1439999999999997E-4</v>
      </c>
      <c r="S7" s="32">
        <f>-R7</f>
        <v>-6.1439999999999997E-4</v>
      </c>
      <c r="T7" s="32">
        <v>0</v>
      </c>
      <c r="U7" s="41">
        <f>IF(B20&gt;R4,R4,B20)</f>
        <v>5.9999999999998943E-4</v>
      </c>
      <c r="V7" s="9">
        <f>-U7</f>
        <v>-5.9999999999998943E-4</v>
      </c>
      <c r="W7" s="9">
        <f>IF(U7+B21&gt;R4,R4, U7)</f>
        <v>6.1439999999999997E-4</v>
      </c>
      <c r="X7" s="9">
        <f>-W7</f>
        <v>-6.1439999999999997E-4</v>
      </c>
      <c r="Y7" s="9"/>
      <c r="Z7" s="9"/>
      <c r="AA7" s="11"/>
    </row>
    <row r="8" spans="1:27" x14ac:dyDescent="0.25">
      <c r="A8" s="71" t="s">
        <v>45</v>
      </c>
      <c r="B8" s="71" t="s">
        <v>11</v>
      </c>
      <c r="C8" s="71" t="s">
        <v>11</v>
      </c>
      <c r="D8" s="72">
        <v>2.1</v>
      </c>
      <c r="E8" s="16"/>
      <c r="F8" s="16"/>
      <c r="G8" s="16"/>
      <c r="H8" s="16"/>
      <c r="I8" s="16"/>
      <c r="J8" s="83"/>
      <c r="K8" s="31"/>
      <c r="L8" s="31"/>
      <c r="M8" s="31"/>
      <c r="N8" s="31"/>
      <c r="O8" s="31"/>
      <c r="P8" s="31"/>
      <c r="Q8" s="31"/>
      <c r="R8" s="31"/>
      <c r="S8" s="31"/>
      <c r="T8" s="31"/>
      <c r="U8" s="34"/>
      <c r="V8" s="9"/>
      <c r="W8" s="9"/>
      <c r="X8" s="9"/>
      <c r="Y8" s="9"/>
      <c r="Z8" s="9"/>
      <c r="AA8" s="9"/>
    </row>
    <row r="9" spans="1:27" x14ac:dyDescent="0.25">
      <c r="A9" s="71" t="s">
        <v>44</v>
      </c>
      <c r="B9" s="71" t="s">
        <v>11</v>
      </c>
      <c r="C9" s="71" t="s">
        <v>11</v>
      </c>
      <c r="D9" s="72">
        <v>2.5</v>
      </c>
      <c r="E9" s="16"/>
      <c r="F9" s="16"/>
      <c r="G9" s="16"/>
      <c r="H9" s="16"/>
      <c r="I9" s="16"/>
      <c r="J9" s="83"/>
      <c r="K9" s="31"/>
      <c r="L9" s="31"/>
      <c r="M9" s="31"/>
      <c r="N9" s="31"/>
      <c r="O9" s="31"/>
      <c r="P9" s="31"/>
      <c r="Q9" s="31"/>
      <c r="R9" s="31"/>
      <c r="S9" s="31"/>
      <c r="T9" s="31"/>
      <c r="U9" s="34"/>
      <c r="V9" s="9"/>
      <c r="W9" s="9"/>
      <c r="X9" s="9"/>
      <c r="Y9" s="9"/>
      <c r="Z9" s="9"/>
      <c r="AA9" s="9"/>
    </row>
    <row r="10" spans="1:27" x14ac:dyDescent="0.25">
      <c r="A10" s="71" t="s">
        <v>46</v>
      </c>
      <c r="B10" s="74"/>
      <c r="C10" s="74"/>
      <c r="D10" s="72">
        <v>0.6</v>
      </c>
      <c r="E10" s="16"/>
      <c r="F10" s="16"/>
      <c r="G10" s="16"/>
      <c r="H10" s="16"/>
      <c r="I10" s="16"/>
      <c r="J10" s="83"/>
      <c r="K10" s="31"/>
      <c r="L10" s="31"/>
      <c r="M10" s="31"/>
      <c r="N10" s="31"/>
      <c r="O10" s="31"/>
      <c r="P10" s="31"/>
      <c r="Q10" s="31"/>
      <c r="R10" s="31"/>
      <c r="S10" s="31"/>
      <c r="T10" s="31" t="s">
        <v>30</v>
      </c>
      <c r="U10" s="34"/>
      <c r="V10" s="9"/>
      <c r="W10" s="9"/>
      <c r="X10" s="9"/>
      <c r="Y10" s="9"/>
      <c r="Z10" s="9"/>
      <c r="AA10" s="9"/>
    </row>
    <row r="11" spans="1:27" ht="15.75" thickBot="1" x14ac:dyDescent="0.3">
      <c r="A11" s="71" t="s">
        <v>47</v>
      </c>
      <c r="B11" s="74"/>
      <c r="C11" s="72">
        <v>12</v>
      </c>
      <c r="D11" s="74"/>
      <c r="E11" s="16"/>
      <c r="F11" s="16"/>
      <c r="G11" s="16"/>
      <c r="H11" s="16"/>
      <c r="I11" s="16"/>
      <c r="J11" s="84"/>
      <c r="K11" s="36"/>
      <c r="L11" s="36"/>
      <c r="M11" s="36"/>
      <c r="N11" s="36"/>
      <c r="O11" s="36"/>
      <c r="P11" s="36"/>
      <c r="Q11" s="36"/>
      <c r="R11" s="36"/>
      <c r="S11" s="36"/>
      <c r="T11" s="37">
        <f>((W5-B19)/(Q5-Q4))*B14+B19</f>
        <v>8.9241857448106414E-4</v>
      </c>
      <c r="U11" s="38"/>
      <c r="V11" s="9"/>
      <c r="W11" s="9"/>
      <c r="X11" s="9"/>
      <c r="Y11" s="9"/>
      <c r="Z11" s="9"/>
      <c r="AA11" s="9"/>
    </row>
    <row r="12" spans="1:27" x14ac:dyDescent="0.25">
      <c r="A12" s="71" t="s">
        <v>48</v>
      </c>
      <c r="B12" s="74"/>
      <c r="C12" s="72">
        <v>20</v>
      </c>
      <c r="D12" s="74"/>
      <c r="E12" s="16"/>
      <c r="F12" s="16"/>
      <c r="G12" s="16"/>
      <c r="H12" s="16"/>
      <c r="I12" s="16"/>
      <c r="J12" s="83"/>
      <c r="K12" s="31"/>
      <c r="L12" s="31"/>
      <c r="M12" s="31"/>
      <c r="N12" s="31"/>
      <c r="O12" s="31"/>
      <c r="P12" s="31"/>
      <c r="Q12" s="31"/>
      <c r="R12" s="31"/>
      <c r="S12" s="31"/>
      <c r="T12" s="35">
        <f>((W7-W6)/(Q7-Q6))*(B14-Q6) + W6</f>
        <v>6.0720677655677559E-4</v>
      </c>
      <c r="U12" s="34"/>
      <c r="V12" s="9"/>
      <c r="W12" s="9"/>
      <c r="X12" s="9"/>
      <c r="Y12" s="9"/>
      <c r="Z12" s="9"/>
      <c r="AA12" s="9"/>
    </row>
    <row r="13" spans="1:27" x14ac:dyDescent="0.25">
      <c r="A13" s="75" t="s">
        <v>12</v>
      </c>
      <c r="B13" s="75"/>
      <c r="C13" s="75"/>
      <c r="D13" s="75"/>
      <c r="E13" s="16"/>
      <c r="F13" s="48" t="s">
        <v>23</v>
      </c>
      <c r="G13" s="54"/>
      <c r="H13" s="54"/>
      <c r="I13" s="55"/>
      <c r="J13" s="83"/>
      <c r="K13" s="31"/>
      <c r="L13" s="31"/>
      <c r="M13" s="31"/>
      <c r="N13" s="31"/>
      <c r="O13" s="31"/>
      <c r="P13" s="31"/>
      <c r="Q13" s="31"/>
      <c r="R13" s="31"/>
      <c r="S13" s="31"/>
      <c r="T13" s="35">
        <f>((W6-W5)/(Q6-Q5))*(B14-Q5)+W5</f>
        <v>6.4968353174602142E-4</v>
      </c>
      <c r="U13" s="34"/>
      <c r="V13" s="9"/>
      <c r="W13" s="9"/>
      <c r="X13" s="9"/>
      <c r="Y13" s="9"/>
      <c r="Z13" s="9"/>
      <c r="AA13" s="9"/>
    </row>
    <row r="14" spans="1:27" x14ac:dyDescent="0.25">
      <c r="A14" s="76"/>
      <c r="B14" s="77">
        <v>0.1</v>
      </c>
      <c r="C14" s="78"/>
      <c r="D14" s="87" t="s">
        <v>28</v>
      </c>
      <c r="E14" s="16"/>
      <c r="F14" s="16"/>
      <c r="G14" s="56">
        <f>IF(T15&gt;R4,R4,T15)</f>
        <v>6.0720677655677559E-4</v>
      </c>
      <c r="H14" s="56"/>
      <c r="I14" s="26" t="s">
        <v>28</v>
      </c>
      <c r="J14" s="83"/>
      <c r="K14" s="31"/>
      <c r="L14" s="31"/>
      <c r="M14" s="31"/>
      <c r="N14" s="31"/>
      <c r="O14" s="31"/>
      <c r="P14" s="31"/>
      <c r="Q14" s="31"/>
      <c r="R14" s="31"/>
      <c r="S14" s="31"/>
      <c r="T14" s="35"/>
      <c r="U14" s="34"/>
      <c r="V14" s="9"/>
      <c r="W14" s="9"/>
      <c r="X14" s="9"/>
      <c r="Y14" s="9"/>
      <c r="Z14" s="9"/>
      <c r="AA14" s="9"/>
    </row>
    <row r="15" spans="1:27" x14ac:dyDescent="0.25">
      <c r="A15" s="76"/>
      <c r="B15" s="76"/>
      <c r="C15" s="76"/>
      <c r="D15" s="76"/>
      <c r="E15" s="16"/>
      <c r="F15" s="16"/>
      <c r="G15" s="57">
        <f>G14/C6*100</f>
        <v>0.59297536773122617</v>
      </c>
      <c r="H15" s="57"/>
      <c r="I15" s="27" t="s">
        <v>29</v>
      </c>
      <c r="J15" s="83"/>
      <c r="K15" s="31"/>
      <c r="L15" s="31"/>
      <c r="M15" s="31"/>
      <c r="N15" s="31"/>
      <c r="O15" s="31"/>
      <c r="P15" s="31"/>
      <c r="Q15" s="31"/>
      <c r="R15" s="31"/>
      <c r="S15" s="31"/>
      <c r="T15" s="31">
        <f>IF(AND(B14&gt;Q5,B14&lt;Q6),T13,IF(B14&lt;Q5,T11,T12))</f>
        <v>6.0720677655677559E-4</v>
      </c>
      <c r="U15" s="34"/>
      <c r="V15" s="9"/>
      <c r="W15" s="9"/>
      <c r="X15" s="9"/>
      <c r="Y15" s="9"/>
      <c r="Z15" s="9"/>
      <c r="AA15" s="9"/>
    </row>
    <row r="16" spans="1:27" x14ac:dyDescent="0.25">
      <c r="A16" s="51" t="s">
        <v>7</v>
      </c>
      <c r="B16" s="52"/>
      <c r="C16" s="52"/>
      <c r="D16" s="52"/>
      <c r="E16" s="16"/>
      <c r="F16" s="16"/>
      <c r="G16" s="16"/>
      <c r="H16" s="16"/>
      <c r="I16" s="16"/>
      <c r="J16" s="83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4"/>
      <c r="V16" s="10"/>
      <c r="W16" s="10"/>
      <c r="X16" s="9"/>
      <c r="Y16" s="9"/>
      <c r="Z16" s="9"/>
      <c r="AA16" s="9"/>
    </row>
    <row r="17" spans="1:27" x14ac:dyDescent="0.25">
      <c r="A17" s="22"/>
      <c r="B17" s="53" t="s">
        <v>49</v>
      </c>
      <c r="C17" s="53"/>
      <c r="D17" s="23" t="s">
        <v>13</v>
      </c>
      <c r="E17" s="16"/>
      <c r="F17" s="16"/>
      <c r="G17" s="16"/>
      <c r="H17" s="16"/>
      <c r="I17" s="16"/>
      <c r="J17" s="83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4"/>
      <c r="V17" s="10"/>
      <c r="W17" s="10"/>
      <c r="X17" s="9"/>
      <c r="Y17" s="9"/>
      <c r="Z17" s="9"/>
      <c r="AA17" s="9"/>
    </row>
    <row r="18" spans="1:27" x14ac:dyDescent="0.25">
      <c r="A18" s="22" t="s">
        <v>0</v>
      </c>
      <c r="B18" s="50">
        <f>C6*D10/100</f>
        <v>6.1439999999999997E-4</v>
      </c>
      <c r="C18" s="50"/>
      <c r="D18" s="22">
        <f>B18*100/$C$6</f>
        <v>0.59999999999999987</v>
      </c>
      <c r="E18" s="16"/>
      <c r="F18" s="16"/>
      <c r="G18" s="16"/>
      <c r="H18" s="16"/>
      <c r="I18" s="16"/>
      <c r="J18" s="83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4"/>
      <c r="V18" s="9"/>
      <c r="W18" s="9"/>
      <c r="X18" s="9"/>
      <c r="Y18" s="9"/>
      <c r="Z18" s="9"/>
      <c r="AA18" s="9"/>
    </row>
    <row r="19" spans="1:27" x14ac:dyDescent="0.25">
      <c r="A19" s="22" t="s">
        <v>1</v>
      </c>
      <c r="B19" s="50">
        <f>(C6*D8)/((2^C11)-1)</f>
        <v>5.2512820512820517E-5</v>
      </c>
      <c r="C19" s="50"/>
      <c r="D19" s="22">
        <f>B19*100/$C$6</f>
        <v>5.1282051282051287E-2</v>
      </c>
      <c r="E19" s="16"/>
      <c r="F19" s="16"/>
      <c r="G19" s="16"/>
      <c r="H19" s="16"/>
      <c r="I19" s="16"/>
      <c r="J19" s="83"/>
      <c r="K19" s="31"/>
      <c r="L19" s="31"/>
      <c r="M19" s="31"/>
      <c r="N19" s="31"/>
      <c r="O19" s="31"/>
      <c r="P19" s="31"/>
      <c r="Q19" s="31"/>
      <c r="R19" s="31"/>
      <c r="S19" s="35"/>
      <c r="T19" s="31"/>
      <c r="U19" s="34"/>
      <c r="V19" s="9"/>
      <c r="W19" s="9"/>
      <c r="X19" s="9"/>
      <c r="Y19" s="9"/>
      <c r="Z19" s="9"/>
      <c r="AA19" s="9"/>
    </row>
    <row r="20" spans="1:27" x14ac:dyDescent="0.25">
      <c r="A20" s="22" t="s">
        <v>3</v>
      </c>
      <c r="B20" s="50">
        <f>ABS(D6-C6)</f>
        <v>5.9999999999998943E-4</v>
      </c>
      <c r="C20" s="50"/>
      <c r="D20" s="22">
        <f>100*(D6-C6)/(C6)</f>
        <v>0.58593749999998967</v>
      </c>
      <c r="E20" s="16"/>
      <c r="F20" s="16"/>
      <c r="G20" s="16"/>
      <c r="H20" s="16"/>
      <c r="I20" s="16"/>
      <c r="J20" s="83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4"/>
      <c r="V20" s="9"/>
      <c r="W20" s="9"/>
      <c r="X20" s="9"/>
      <c r="Y20" s="9"/>
      <c r="Z20" s="9"/>
      <c r="AA20" s="9"/>
    </row>
    <row r="21" spans="1:27" x14ac:dyDescent="0.25">
      <c r="A21" s="22" t="s">
        <v>2</v>
      </c>
      <c r="B21" s="50">
        <f>C6*D9/(2^(C11)-1)</f>
        <v>6.2515262515262519E-5</v>
      </c>
      <c r="C21" s="50"/>
      <c r="D21" s="22">
        <f>B21*100/$C$6</f>
        <v>6.1050061050061048E-2</v>
      </c>
      <c r="E21" s="16"/>
      <c r="F21" s="16"/>
      <c r="G21" s="16"/>
      <c r="H21" s="16"/>
      <c r="I21" s="16"/>
      <c r="J21" s="83"/>
      <c r="K21" s="31"/>
      <c r="L21" s="31"/>
      <c r="M21" s="31"/>
      <c r="N21" s="31"/>
      <c r="O21" s="31"/>
      <c r="P21" s="31"/>
      <c r="Q21" s="31"/>
      <c r="R21" s="31"/>
      <c r="S21" s="35"/>
      <c r="T21" s="31"/>
      <c r="U21" s="34"/>
      <c r="V21" s="9"/>
      <c r="W21" s="9"/>
      <c r="X21" s="9"/>
      <c r="Y21" s="9"/>
      <c r="Z21" s="9"/>
      <c r="AA21" s="9"/>
    </row>
    <row r="22" spans="1:27" x14ac:dyDescent="0.25">
      <c r="A22" s="18"/>
      <c r="B22" s="16"/>
      <c r="C22" s="16"/>
      <c r="D22" s="16"/>
      <c r="E22" s="16"/>
      <c r="F22" s="16"/>
      <c r="G22" s="16"/>
      <c r="H22" s="16"/>
      <c r="I22" s="16"/>
      <c r="J22" s="83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4"/>
      <c r="V22" s="9"/>
      <c r="W22" s="9"/>
      <c r="X22" s="9"/>
      <c r="Y22" s="9"/>
      <c r="Z22" s="9"/>
    </row>
    <row r="23" spans="1:27" ht="21" x14ac:dyDescent="0.35">
      <c r="A23" s="45" t="str">
        <f>IF(OR(B19&gt;B18,B20&gt;B18,B21&gt;B18),"NOTE: Incorrect Input. VOS, VFS and INL cannot be greater than TUE!!", "")</f>
        <v/>
      </c>
      <c r="B23" s="16"/>
      <c r="C23" s="16"/>
      <c r="D23" s="16"/>
      <c r="E23" s="16"/>
      <c r="F23" s="16"/>
      <c r="G23" s="16"/>
      <c r="H23" s="16"/>
      <c r="I23" s="16"/>
      <c r="J23" s="83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4"/>
      <c r="V23" s="9"/>
      <c r="W23" s="9"/>
      <c r="X23" s="9"/>
      <c r="Y23" s="9"/>
      <c r="Z23" s="9"/>
    </row>
    <row r="24" spans="1:27" x14ac:dyDescent="0.25">
      <c r="A24" s="18"/>
      <c r="B24" s="16"/>
      <c r="C24" s="16"/>
      <c r="D24" s="16"/>
      <c r="E24" s="16"/>
      <c r="F24" s="16"/>
      <c r="G24" s="16"/>
      <c r="H24" s="16"/>
      <c r="I24" s="16"/>
      <c r="J24" s="83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4"/>
      <c r="V24" s="9"/>
      <c r="W24" s="9"/>
      <c r="X24" s="9"/>
      <c r="Y24" s="9"/>
      <c r="Z24" s="9"/>
    </row>
    <row r="25" spans="1:27" x14ac:dyDescent="0.25">
      <c r="A25" s="18"/>
      <c r="B25" s="16"/>
      <c r="C25" s="16"/>
      <c r="D25" s="16"/>
      <c r="E25" s="16"/>
      <c r="F25" s="16"/>
      <c r="G25" s="16"/>
      <c r="H25" s="16"/>
      <c r="I25" s="16"/>
      <c r="J25" s="83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4"/>
      <c r="V25" s="9"/>
      <c r="W25" s="9"/>
      <c r="X25" s="9"/>
      <c r="Y25" s="9"/>
      <c r="Z25" s="9"/>
    </row>
    <row r="26" spans="1:27" x14ac:dyDescent="0.25">
      <c r="A26" s="18"/>
      <c r="B26" s="16"/>
      <c r="C26" s="16"/>
      <c r="D26" s="16"/>
      <c r="E26" s="16"/>
      <c r="F26" s="16"/>
      <c r="G26" s="16"/>
      <c r="H26" s="16"/>
      <c r="I26" s="16"/>
      <c r="J26" s="83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4"/>
      <c r="V26" s="9"/>
      <c r="W26" s="9"/>
      <c r="X26" s="9"/>
      <c r="Y26" s="9"/>
      <c r="Z26" s="9"/>
    </row>
    <row r="27" spans="1:27" ht="15.75" thickBot="1" x14ac:dyDescent="0.3">
      <c r="A27" s="19"/>
      <c r="B27" s="20"/>
      <c r="C27" s="20"/>
      <c r="D27" s="20"/>
      <c r="E27" s="20"/>
      <c r="F27" s="20"/>
      <c r="G27" s="20"/>
      <c r="H27" s="20"/>
      <c r="I27" s="20"/>
      <c r="J27" s="84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9"/>
      <c r="W27" s="9"/>
      <c r="X27" s="9"/>
      <c r="Y27" s="9"/>
      <c r="Z27" s="9"/>
    </row>
    <row r="28" spans="1:27" ht="15.75" thickBot="1" x14ac:dyDescent="0.3">
      <c r="J28" s="82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85"/>
      <c r="V28" s="9"/>
      <c r="W28" s="9"/>
      <c r="X28" s="9"/>
      <c r="Y28" s="9"/>
      <c r="Z28" s="9"/>
    </row>
    <row r="29" spans="1:27" x14ac:dyDescent="0.25">
      <c r="A29" s="12" t="s">
        <v>31</v>
      </c>
      <c r="J29" s="82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85"/>
      <c r="V29" s="9"/>
      <c r="W29" s="9"/>
      <c r="X29" s="9"/>
      <c r="Y29" s="9"/>
      <c r="Z29" s="9"/>
    </row>
    <row r="30" spans="1:27" x14ac:dyDescent="0.25">
      <c r="J30" s="83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4"/>
      <c r="V30" s="9"/>
      <c r="W30" s="9"/>
      <c r="X30" s="9"/>
      <c r="Y30" s="9"/>
      <c r="Z30" s="9"/>
    </row>
    <row r="31" spans="1:27" ht="15.75" thickBot="1" x14ac:dyDescent="0.3">
      <c r="A31" s="74" t="s">
        <v>32</v>
      </c>
      <c r="B31" s="79">
        <v>0.01</v>
      </c>
      <c r="C31" s="80" t="s">
        <v>34</v>
      </c>
      <c r="J31" s="84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9"/>
      <c r="W31" s="9"/>
      <c r="X31" s="9"/>
      <c r="Y31" s="9"/>
      <c r="Z31" s="9"/>
    </row>
    <row r="32" spans="1:27" x14ac:dyDescent="0.25">
      <c r="A32" s="74" t="s">
        <v>33</v>
      </c>
      <c r="B32" s="79">
        <v>10</v>
      </c>
      <c r="C32" s="81" t="s">
        <v>35</v>
      </c>
      <c r="J32" s="83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4"/>
      <c r="V32" s="9"/>
      <c r="W32" s="9"/>
      <c r="X32" s="9"/>
      <c r="Y32" s="9"/>
      <c r="Z32" s="9"/>
    </row>
    <row r="33" spans="1:26" x14ac:dyDescent="0.25">
      <c r="J33" s="83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4"/>
      <c r="V33" s="9"/>
      <c r="W33" s="9"/>
      <c r="X33" s="9"/>
      <c r="Y33" s="9"/>
      <c r="Z33" s="9"/>
    </row>
    <row r="34" spans="1:26" x14ac:dyDescent="0.25">
      <c r="A34" s="12" t="s">
        <v>51</v>
      </c>
      <c r="D34" s="49"/>
      <c r="E34" s="49"/>
      <c r="F34" s="49"/>
      <c r="G34" s="49"/>
      <c r="H34" s="49"/>
      <c r="I34" s="13"/>
      <c r="J34" s="83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4"/>
      <c r="V34" s="9"/>
      <c r="W34" s="9"/>
      <c r="X34" s="9"/>
      <c r="Y34" s="9"/>
      <c r="Z34" s="9"/>
    </row>
    <row r="35" spans="1:26" x14ac:dyDescent="0.25">
      <c r="A35" s="39" t="s">
        <v>50</v>
      </c>
      <c r="B35" s="39" t="s">
        <v>36</v>
      </c>
      <c r="C35" s="39" t="s">
        <v>10</v>
      </c>
      <c r="J35" s="83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4"/>
      <c r="V35" s="9"/>
      <c r="W35" s="9"/>
      <c r="X35" s="9"/>
      <c r="Y35" s="9"/>
      <c r="Z35" s="9"/>
    </row>
    <row r="36" spans="1:26" x14ac:dyDescent="0.25">
      <c r="A36" s="39">
        <f>B31-B31*(B32/100)</f>
        <v>9.0000000000000011E-3</v>
      </c>
      <c r="B36" s="39">
        <f>B31</f>
        <v>0.01</v>
      </c>
      <c r="C36" s="39">
        <f>B31+B31*(B32/100)</f>
        <v>1.0999999999999999E-2</v>
      </c>
      <c r="J36" s="83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4"/>
      <c r="V36" s="9"/>
      <c r="W36" s="9"/>
      <c r="X36" s="9"/>
      <c r="Y36" s="9"/>
      <c r="Z36" s="9"/>
    </row>
    <row r="37" spans="1:26" x14ac:dyDescent="0.25">
      <c r="A37" s="42"/>
      <c r="B37" s="42"/>
      <c r="C37" s="42"/>
      <c r="D37" s="42"/>
      <c r="E37" s="42"/>
      <c r="J37" s="83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4"/>
      <c r="V37" s="9"/>
      <c r="W37" s="9"/>
      <c r="X37" s="9"/>
      <c r="Y37" s="9"/>
      <c r="Z37" s="9"/>
    </row>
    <row r="38" spans="1:26" x14ac:dyDescent="0.25">
      <c r="A38" s="47" t="s">
        <v>52</v>
      </c>
      <c r="B38" s="47"/>
      <c r="C38" s="47"/>
      <c r="D38" s="47"/>
      <c r="E38" s="47"/>
      <c r="J38" s="83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4"/>
      <c r="V38" s="9"/>
      <c r="W38" s="9"/>
      <c r="X38" s="9"/>
      <c r="Y38" s="9"/>
      <c r="Z38" s="9"/>
    </row>
    <row r="39" spans="1:26" x14ac:dyDescent="0.25">
      <c r="A39" s="40" t="s">
        <v>41</v>
      </c>
      <c r="B39" s="40" t="s">
        <v>39</v>
      </c>
      <c r="C39" s="43" t="s">
        <v>40</v>
      </c>
      <c r="D39" s="40" t="s">
        <v>42</v>
      </c>
      <c r="I39" s="4"/>
      <c r="J39" s="83"/>
      <c r="K39" s="31"/>
      <c r="L39" s="31"/>
      <c r="M39" s="31"/>
      <c r="N39" s="31"/>
      <c r="O39" s="31"/>
      <c r="P39" s="31"/>
      <c r="Q39" s="31"/>
      <c r="R39" s="31">
        <f>R4/($B$36)</f>
        <v>6.1439999999999995E-2</v>
      </c>
      <c r="S39" s="31">
        <f>-R39</f>
        <v>-6.1439999999999995E-2</v>
      </c>
      <c r="T39" s="31">
        <v>0</v>
      </c>
      <c r="U39" s="34">
        <f>U4/($B$36)</f>
        <v>5.2512820512820519E-3</v>
      </c>
      <c r="V39" s="9">
        <f>-U39</f>
        <v>-5.2512820512820519E-3</v>
      </c>
      <c r="W39" s="9">
        <f>W4/$B$36</f>
        <v>5.2512820512820519E-3</v>
      </c>
      <c r="X39" s="9">
        <f>-W39</f>
        <v>-5.2512820512820519E-3</v>
      </c>
      <c r="Y39" s="9"/>
      <c r="Z39" s="9"/>
    </row>
    <row r="40" spans="1:26" x14ac:dyDescent="0.25">
      <c r="A40" s="44">
        <f>ABS(B14/B36 - ((B14+G14)/(C36)))</f>
        <v>0.85389029304029229</v>
      </c>
      <c r="B40" s="44">
        <f>(B14/B36)-(B14+G14)/B36</f>
        <v>-6.0720677655677235E-2</v>
      </c>
      <c r="C40" s="44">
        <f>ABS((B14/B36)-(B14+G14)/B36)</f>
        <v>6.0720677655677235E-2</v>
      </c>
      <c r="D40" s="44">
        <f>ABS((B14/B36)-((B14+G14)/A36))</f>
        <v>1.1785785307285295</v>
      </c>
      <c r="J40" s="83"/>
      <c r="K40" s="31"/>
      <c r="L40" s="31"/>
      <c r="M40" s="31"/>
      <c r="N40" s="31"/>
      <c r="O40" s="31"/>
      <c r="P40" s="31"/>
      <c r="Q40" s="31"/>
      <c r="R40" s="31">
        <f>R5/($B$36)</f>
        <v>6.1439999999999995E-2</v>
      </c>
      <c r="S40" s="31">
        <f>-R40</f>
        <v>-6.1439999999999995E-2</v>
      </c>
      <c r="T40" s="31">
        <v>0</v>
      </c>
      <c r="U40" s="34">
        <f>U5/($B$36)</f>
        <v>1.6201025641025431E-2</v>
      </c>
      <c r="V40" s="9">
        <f>-U40</f>
        <v>-1.6201025641025431E-2</v>
      </c>
      <c r="W40" s="9">
        <f>W5/$B$36</f>
        <v>2.245255189255168E-2</v>
      </c>
      <c r="X40" s="9">
        <f>-W40</f>
        <v>-2.245255189255168E-2</v>
      </c>
      <c r="Y40" s="9"/>
      <c r="Z40" s="9"/>
    </row>
    <row r="41" spans="1:26" x14ac:dyDescent="0.25">
      <c r="J41" s="83"/>
      <c r="K41" s="31"/>
      <c r="L41" s="31"/>
      <c r="M41" s="31"/>
      <c r="N41" s="31"/>
      <c r="O41" s="31"/>
      <c r="P41" s="31"/>
      <c r="Q41" s="31"/>
      <c r="R41" s="31">
        <f>R6/($B$36)</f>
        <v>6.1439999999999995E-2</v>
      </c>
      <c r="S41" s="31">
        <f>-R41</f>
        <v>-6.1439999999999995E-2</v>
      </c>
      <c r="T41" s="31">
        <v>0</v>
      </c>
      <c r="U41" s="34">
        <f>U6/($B$36)</f>
        <v>4.9050256410255566E-2</v>
      </c>
      <c r="V41" s="9">
        <f>-U41</f>
        <v>-4.9050256410255566E-2</v>
      </c>
      <c r="W41" s="9">
        <f>W6/$B$36</f>
        <v>5.5301782661781818E-2</v>
      </c>
      <c r="X41" s="9">
        <f>-W41</f>
        <v>-5.5301782661781818E-2</v>
      </c>
      <c r="Y41" s="9"/>
      <c r="Z41" s="9"/>
    </row>
    <row r="42" spans="1:26" x14ac:dyDescent="0.25">
      <c r="J42" s="83"/>
      <c r="K42" s="35"/>
      <c r="L42" s="31"/>
      <c r="M42" s="31"/>
      <c r="N42" s="31"/>
      <c r="O42" s="31"/>
      <c r="P42" s="31"/>
      <c r="Q42" s="31"/>
      <c r="R42" s="31">
        <f>R7/($B$36)</f>
        <v>6.1439999999999995E-2</v>
      </c>
      <c r="S42" s="31">
        <f>-R42</f>
        <v>-6.1439999999999995E-2</v>
      </c>
      <c r="T42" s="31">
        <v>0</v>
      </c>
      <c r="U42" s="34">
        <f>U7/($B$36)</f>
        <v>5.9999999999998943E-2</v>
      </c>
      <c r="V42" s="9">
        <f>-U42</f>
        <v>-5.9999999999998943E-2</v>
      </c>
      <c r="W42" s="9">
        <f>W7/$B$36</f>
        <v>6.1439999999999995E-2</v>
      </c>
      <c r="X42" s="9">
        <f>-W42</f>
        <v>-6.1439999999999995E-2</v>
      </c>
      <c r="Y42" s="9"/>
      <c r="Z42" s="9"/>
    </row>
    <row r="43" spans="1:26" x14ac:dyDescent="0.25">
      <c r="J43" s="83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4"/>
      <c r="V43" s="9"/>
      <c r="W43" s="9"/>
      <c r="X43" s="9"/>
      <c r="Y43" s="9"/>
      <c r="Z43" s="9"/>
    </row>
    <row r="44" spans="1:26" x14ac:dyDescent="0.25">
      <c r="J44" s="83"/>
      <c r="K44" s="31"/>
      <c r="L44" s="31"/>
      <c r="M44" s="31"/>
      <c r="N44" s="31"/>
      <c r="O44" s="31"/>
      <c r="P44" s="31"/>
      <c r="Q44" s="31"/>
      <c r="R44" s="31"/>
      <c r="S44" s="31"/>
      <c r="T44" s="31" t="s">
        <v>37</v>
      </c>
      <c r="U44" s="34"/>
      <c r="V44" s="9"/>
      <c r="W44" s="9"/>
      <c r="X44" s="9"/>
      <c r="Y44" s="9"/>
      <c r="Z44" s="9"/>
    </row>
    <row r="45" spans="1:26" x14ac:dyDescent="0.25">
      <c r="J45" s="83"/>
      <c r="K45" s="31"/>
      <c r="L45" s="31"/>
      <c r="M45" s="31"/>
      <c r="N45" s="31"/>
      <c r="O45" s="31"/>
      <c r="P45" s="31"/>
      <c r="Q45" s="31"/>
      <c r="R45" s="31"/>
      <c r="S45" s="31"/>
      <c r="T45" s="86">
        <f>G14/B36</f>
        <v>6.0720677655677555E-2</v>
      </c>
      <c r="U45" s="34"/>
      <c r="V45" s="9"/>
      <c r="W45" s="9"/>
      <c r="X45" s="9"/>
      <c r="Y45" s="9"/>
      <c r="Z45" s="9"/>
    </row>
    <row r="46" spans="1:26" x14ac:dyDescent="0.25">
      <c r="J46" s="18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7"/>
    </row>
    <row r="47" spans="1:26" x14ac:dyDescent="0.25">
      <c r="J47" s="18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7"/>
    </row>
    <row r="48" spans="1:26" x14ac:dyDescent="0.25">
      <c r="J48" s="18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7"/>
    </row>
    <row r="49" spans="1:21" x14ac:dyDescent="0.25">
      <c r="J49" s="18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7"/>
    </row>
    <row r="50" spans="1:21" x14ac:dyDescent="0.25">
      <c r="J50" s="18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7"/>
    </row>
    <row r="51" spans="1:21" x14ac:dyDescent="0.25">
      <c r="A51" s="16"/>
      <c r="B51" s="16"/>
      <c r="C51" s="16"/>
      <c r="D51" s="16"/>
      <c r="E51" s="16"/>
      <c r="F51" s="16"/>
      <c r="G51" s="16"/>
      <c r="H51" s="16"/>
      <c r="I51" s="17"/>
      <c r="J51" s="18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7"/>
    </row>
    <row r="52" spans="1:21" ht="15.75" thickBot="1" x14ac:dyDescent="0.3">
      <c r="A52" s="20"/>
      <c r="B52" s="20"/>
      <c r="C52" s="20"/>
      <c r="D52" s="20"/>
      <c r="E52" s="20"/>
      <c r="F52" s="20"/>
      <c r="G52" s="20"/>
      <c r="H52" s="20"/>
      <c r="I52" s="21"/>
      <c r="J52" s="19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1"/>
    </row>
    <row r="53" spans="1:21" x14ac:dyDescent="0.25">
      <c r="A53" s="16"/>
      <c r="B53" s="16"/>
      <c r="C53" s="16"/>
      <c r="D53" s="16"/>
      <c r="E53" s="16"/>
    </row>
  </sheetData>
  <sheetProtection sheet="1" objects="1" scenarios="1"/>
  <mergeCells count="15">
    <mergeCell ref="E2:M2"/>
    <mergeCell ref="A38:E38"/>
    <mergeCell ref="A3:D3"/>
    <mergeCell ref="A13:D13"/>
    <mergeCell ref="B14:C14"/>
    <mergeCell ref="D34:H34"/>
    <mergeCell ref="B18:C18"/>
    <mergeCell ref="B19:C19"/>
    <mergeCell ref="B20:C20"/>
    <mergeCell ref="B21:C21"/>
    <mergeCell ref="A16:D16"/>
    <mergeCell ref="B17:C17"/>
    <mergeCell ref="F13:I13"/>
    <mergeCell ref="G14:H14"/>
    <mergeCell ref="G15:H1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37"/>
  <sheetViews>
    <sheetView zoomScale="70" zoomScaleNormal="70" workbookViewId="0">
      <selection activeCell="B13" sqref="B13"/>
    </sheetView>
  </sheetViews>
  <sheetFormatPr defaultRowHeight="15" x14ac:dyDescent="0.25"/>
  <cols>
    <col min="2" max="2" width="12" bestFit="1" customWidth="1"/>
    <col min="9" max="9" width="15.42578125" customWidth="1"/>
    <col min="12" max="12" width="12.7109375" bestFit="1" customWidth="1"/>
    <col min="17" max="17" width="12" bestFit="1" customWidth="1"/>
    <col min="18" max="18" width="14" customWidth="1"/>
    <col min="19" max="19" width="12.5703125" customWidth="1"/>
    <col min="21" max="21" width="12.140625" customWidth="1"/>
    <col min="22" max="22" width="17.42578125" customWidth="1"/>
    <col min="23" max="23" width="14.42578125" customWidth="1"/>
    <col min="24" max="24" width="15.42578125" customWidth="1"/>
  </cols>
  <sheetData>
    <row r="1" spans="1:27" x14ac:dyDescent="0.25">
      <c r="A1" s="60" t="s">
        <v>6</v>
      </c>
      <c r="B1" s="60"/>
      <c r="C1" s="60"/>
      <c r="D1" s="60"/>
      <c r="P1" s="9"/>
      <c r="Q1" s="10" t="s">
        <v>17</v>
      </c>
      <c r="R1" s="10" t="s">
        <v>15</v>
      </c>
      <c r="S1" s="10" t="s">
        <v>16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9"/>
      <c r="Z1" s="9"/>
      <c r="AA1" s="10" t="s">
        <v>25</v>
      </c>
    </row>
    <row r="2" spans="1:27" x14ac:dyDescent="0.25">
      <c r="A2" s="7"/>
      <c r="B2" s="7"/>
      <c r="C2" s="7"/>
      <c r="D2" s="7"/>
      <c r="P2" s="9"/>
      <c r="Q2" s="10">
        <v>0</v>
      </c>
      <c r="R2" s="10">
        <f>$B$16</f>
        <v>6.1439999999999997E-4</v>
      </c>
      <c r="S2" s="10">
        <f>-R2</f>
        <v>-6.1439999999999997E-4</v>
      </c>
      <c r="T2" s="10">
        <v>0</v>
      </c>
      <c r="U2" s="10">
        <f>B17</f>
        <v>5.2512820512820517E-5</v>
      </c>
      <c r="V2" s="9">
        <f>-U2</f>
        <v>-5.2512820512820517E-5</v>
      </c>
      <c r="W2" s="9">
        <f>0+U2</f>
        <v>5.2512820512820517E-5</v>
      </c>
      <c r="X2" s="9">
        <f>-W2</f>
        <v>-5.2512820512820517E-5</v>
      </c>
      <c r="Y2" s="9"/>
      <c r="Z2" s="9"/>
      <c r="AA2" s="9"/>
    </row>
    <row r="3" spans="1:27" x14ac:dyDescent="0.25">
      <c r="A3" s="1"/>
      <c r="B3" s="1" t="s">
        <v>8</v>
      </c>
      <c r="C3" s="1" t="s">
        <v>9</v>
      </c>
      <c r="D3" s="1" t="s">
        <v>10</v>
      </c>
      <c r="P3" s="9"/>
      <c r="Q3" s="10">
        <f>C4*(C10/100)</f>
        <v>3.0720000000000001E-2</v>
      </c>
      <c r="R3" s="10">
        <f>$B$16</f>
        <v>6.1439999999999997E-4</v>
      </c>
      <c r="S3" s="10">
        <f>-R3</f>
        <v>-6.1439999999999997E-4</v>
      </c>
      <c r="T3" s="10">
        <v>0</v>
      </c>
      <c r="U3" s="10">
        <f>((B18-B17)/C4)*Q3 + B17</f>
        <v>2.1675897435897117E-4</v>
      </c>
      <c r="V3" s="9">
        <f>-U3</f>
        <v>-2.1675897435897117E-4</v>
      </c>
      <c r="W3" s="9">
        <f>IF(U3+B19&gt;R2,R2, U3+ B19)</f>
        <v>2.792742368742337E-4</v>
      </c>
      <c r="X3" s="9">
        <f>-W3</f>
        <v>-2.792742368742337E-4</v>
      </c>
      <c r="Y3" s="9"/>
      <c r="Z3" s="9"/>
      <c r="AA3" s="11">
        <f>W3*($C$4/(2^$C$9-1))</f>
        <v>6.9835608927769312E-9</v>
      </c>
    </row>
    <row r="4" spans="1:27" x14ac:dyDescent="0.25">
      <c r="A4" s="1" t="s">
        <v>3</v>
      </c>
      <c r="B4" s="5">
        <v>0.1018</v>
      </c>
      <c r="C4" s="5">
        <v>0.1024</v>
      </c>
      <c r="D4" s="5">
        <v>0.10299999999999999</v>
      </c>
      <c r="P4" s="9"/>
      <c r="Q4" s="10">
        <f>C4-(Q3)</f>
        <v>7.1680000000000008E-2</v>
      </c>
      <c r="R4" s="10">
        <f>$B$16</f>
        <v>6.1439999999999997E-4</v>
      </c>
      <c r="S4" s="10">
        <f>-R4</f>
        <v>-6.1439999999999997E-4</v>
      </c>
      <c r="T4" s="10">
        <v>0</v>
      </c>
      <c r="U4" s="10">
        <f>((B18-B17)/C4)*Q4 + B17</f>
        <v>4.3575384615383877E-4</v>
      </c>
      <c r="V4" s="9">
        <f>-U4</f>
        <v>-4.3575384615383877E-4</v>
      </c>
      <c r="W4" s="9">
        <f>IF(U4+B19&gt;R2,R2, U4+ B19)</f>
        <v>4.9826910866910125E-4</v>
      </c>
      <c r="X4" s="9">
        <f>-W4</f>
        <v>-4.9826910866910125E-4</v>
      </c>
      <c r="Y4" s="9"/>
      <c r="Z4" s="9"/>
      <c r="AA4" s="11">
        <f>W4*($C$4/(2^$C$9-1))</f>
        <v>1.2459769652677894E-8</v>
      </c>
    </row>
    <row r="5" spans="1:27" x14ac:dyDescent="0.25">
      <c r="A5" s="1" t="s">
        <v>5</v>
      </c>
      <c r="B5" s="1" t="s">
        <v>11</v>
      </c>
      <c r="C5" s="6">
        <v>2.5000000000000001E-5</v>
      </c>
      <c r="D5" s="1" t="s">
        <v>11</v>
      </c>
      <c r="P5" s="9"/>
      <c r="Q5" s="10">
        <f>C4</f>
        <v>0.1024</v>
      </c>
      <c r="R5" s="10">
        <f>$B$16</f>
        <v>6.1439999999999997E-4</v>
      </c>
      <c r="S5" s="10">
        <f>-R5</f>
        <v>-6.1439999999999997E-4</v>
      </c>
      <c r="T5" s="10">
        <v>0</v>
      </c>
      <c r="U5" s="10">
        <f>B18</f>
        <v>5.9999999999998943E-4</v>
      </c>
      <c r="V5" s="9">
        <f>-U5</f>
        <v>-5.9999999999998943E-4</v>
      </c>
      <c r="W5" s="9">
        <f>U5</f>
        <v>5.9999999999998943E-4</v>
      </c>
      <c r="X5" s="9">
        <f>-W5</f>
        <v>-5.9999999999998943E-4</v>
      </c>
      <c r="Y5" s="9"/>
      <c r="Z5" s="9"/>
      <c r="AA5" s="11">
        <f>W5*($C$4/(2^$C$9-1))</f>
        <v>1.5003663003662741E-8</v>
      </c>
    </row>
    <row r="6" spans="1:27" x14ac:dyDescent="0.25">
      <c r="A6" s="1" t="s">
        <v>1</v>
      </c>
      <c r="B6" s="1" t="s">
        <v>11</v>
      </c>
      <c r="C6" s="1" t="s">
        <v>11</v>
      </c>
      <c r="D6" s="5">
        <v>2.1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A7" s="1" t="s">
        <v>2</v>
      </c>
      <c r="B7" s="1" t="s">
        <v>11</v>
      </c>
      <c r="C7" s="1" t="s">
        <v>11</v>
      </c>
      <c r="D7" s="5">
        <v>2.5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x14ac:dyDescent="0.25">
      <c r="A8" s="1" t="s">
        <v>0</v>
      </c>
      <c r="B8" s="2"/>
      <c r="C8" s="2"/>
      <c r="D8" s="5">
        <v>0.6</v>
      </c>
      <c r="P8" s="9"/>
      <c r="Q8" s="9"/>
      <c r="R8" s="9">
        <f>D7 +U3</f>
        <v>2.5002167589743589</v>
      </c>
      <c r="S8" s="9"/>
      <c r="T8" s="9"/>
      <c r="U8" s="9"/>
      <c r="V8" s="9"/>
      <c r="W8" s="9"/>
      <c r="X8" s="9"/>
      <c r="Y8" s="9"/>
      <c r="Z8" s="9"/>
      <c r="AA8" s="9"/>
    </row>
    <row r="9" spans="1:27" x14ac:dyDescent="0.25">
      <c r="A9" s="1" t="s">
        <v>4</v>
      </c>
      <c r="B9" s="2"/>
      <c r="C9" s="5">
        <v>12</v>
      </c>
      <c r="D9" s="2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A10" s="1" t="s">
        <v>27</v>
      </c>
      <c r="B10" s="2"/>
      <c r="C10" s="5">
        <v>30</v>
      </c>
      <c r="D10" s="2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60" t="s">
        <v>12</v>
      </c>
      <c r="B11" s="60"/>
      <c r="C11" s="60"/>
      <c r="D11" s="60"/>
      <c r="F11" s="60" t="s">
        <v>23</v>
      </c>
      <c r="G11" s="61"/>
      <c r="H11" s="61"/>
      <c r="I11" s="61"/>
      <c r="P11" s="9" t="s">
        <v>24</v>
      </c>
      <c r="Q11" s="9"/>
      <c r="R11" s="9">
        <f>((AA4-AA3)/(Q4-Q3))*B12 + B17</f>
        <v>5.2518168372937609E-5</v>
      </c>
      <c r="S11" s="9"/>
      <c r="T11" s="9"/>
      <c r="U11" s="9"/>
      <c r="V11" s="9"/>
      <c r="W11" s="9"/>
      <c r="X11" s="9"/>
      <c r="Y11" s="9"/>
      <c r="Z11" s="9"/>
      <c r="AA11" s="9"/>
    </row>
    <row r="12" spans="1:27" x14ac:dyDescent="0.25">
      <c r="B12" s="62">
        <v>0.04</v>
      </c>
      <c r="C12" s="63"/>
      <c r="G12" s="58">
        <f>IF(I32&gt;R2,R2,I32)</f>
        <v>3.2889026251525837E-4</v>
      </c>
      <c r="H12" s="59"/>
      <c r="I12" s="3" t="s">
        <v>28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x14ac:dyDescent="0.25">
      <c r="G13" s="64">
        <f>G12/C4*100</f>
        <v>0.321181896987557</v>
      </c>
      <c r="H13" s="64"/>
      <c r="I13" s="3" t="s">
        <v>29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60" t="s">
        <v>7</v>
      </c>
      <c r="B14" s="61"/>
      <c r="C14" s="61"/>
      <c r="D14" s="61"/>
      <c r="P14" s="9"/>
      <c r="Q14" s="9"/>
      <c r="R14" s="9"/>
      <c r="S14" s="9"/>
      <c r="T14" s="9"/>
      <c r="U14" s="9">
        <v>0</v>
      </c>
      <c r="V14" s="10">
        <f>B16</f>
        <v>6.1439999999999997E-4</v>
      </c>
      <c r="W14" s="10">
        <f>B17</f>
        <v>5.2512820512820517E-5</v>
      </c>
      <c r="X14" s="9"/>
      <c r="Y14" s="9"/>
      <c r="Z14" s="9"/>
      <c r="AA14" s="9"/>
    </row>
    <row r="15" spans="1:27" x14ac:dyDescent="0.25">
      <c r="A15" s="3"/>
      <c r="B15" s="58" t="s">
        <v>14</v>
      </c>
      <c r="C15" s="59"/>
      <c r="D15" s="8" t="s">
        <v>13</v>
      </c>
      <c r="P15" s="9"/>
      <c r="Q15" s="9"/>
      <c r="R15" s="9"/>
      <c r="S15" s="9"/>
      <c r="T15" s="9"/>
      <c r="U15" s="9">
        <f>C4</f>
        <v>0.1024</v>
      </c>
      <c r="V15" s="10">
        <f>B16</f>
        <v>6.1439999999999997E-4</v>
      </c>
      <c r="W15" s="10">
        <f>B18</f>
        <v>5.9999999999998943E-4</v>
      </c>
      <c r="X15" s="9"/>
      <c r="Y15" s="9"/>
      <c r="Z15" s="9"/>
      <c r="AA15" s="9"/>
    </row>
    <row r="16" spans="1:27" x14ac:dyDescent="0.25">
      <c r="A16" s="3" t="s">
        <v>0</v>
      </c>
      <c r="B16" s="58">
        <f>C4*D8/100</f>
        <v>6.1439999999999997E-4</v>
      </c>
      <c r="C16" s="59"/>
      <c r="D16" s="3">
        <f>B16*100/$C$4</f>
        <v>0.59999999999999987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5">
      <c r="A17" s="3" t="s">
        <v>1</v>
      </c>
      <c r="B17" s="65">
        <f>(C4*D6)/((2^C9)-1)</f>
        <v>5.2512820512820517E-5</v>
      </c>
      <c r="C17" s="66"/>
      <c r="D17" s="3">
        <f>B17*100/$C$4</f>
        <v>5.1282051282051287E-2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x14ac:dyDescent="0.25">
      <c r="A18" s="3" t="s">
        <v>3</v>
      </c>
      <c r="B18" s="65">
        <f>(D4-C4)</f>
        <v>5.9999999999998943E-4</v>
      </c>
      <c r="C18" s="66"/>
      <c r="D18" s="3">
        <f>100*(D4-C4)/(C4)</f>
        <v>0.58593749999998967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x14ac:dyDescent="0.25">
      <c r="A19" s="3" t="s">
        <v>2</v>
      </c>
      <c r="B19" s="58">
        <f>C4*D7/(2^(C9)-1)</f>
        <v>6.2515262515262519E-5</v>
      </c>
      <c r="C19" s="59"/>
      <c r="D19" s="3">
        <f>B19*100/$C$4</f>
        <v>6.1050061050061048E-2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x14ac:dyDescent="0.25">
      <c r="A20" s="3"/>
      <c r="B20" s="3"/>
      <c r="C20" s="3"/>
      <c r="D20" s="3"/>
    </row>
    <row r="21" spans="1:27" x14ac:dyDescent="0.25">
      <c r="A21" s="3"/>
      <c r="B21" s="3"/>
      <c r="C21" s="3"/>
      <c r="D21" s="3"/>
    </row>
    <row r="22" spans="1:27" x14ac:dyDescent="0.25">
      <c r="A22" s="3"/>
      <c r="B22" s="3"/>
      <c r="C22" s="3"/>
      <c r="D22" s="3"/>
    </row>
    <row r="23" spans="1:27" x14ac:dyDescent="0.25">
      <c r="A23" s="3"/>
      <c r="B23" s="3"/>
      <c r="C23" s="3"/>
      <c r="D23" s="3"/>
    </row>
    <row r="28" spans="1:27" x14ac:dyDescent="0.25">
      <c r="B28" t="s">
        <v>26</v>
      </c>
    </row>
    <row r="29" spans="1:27" x14ac:dyDescent="0.25">
      <c r="K29" t="b">
        <f>OR(B12&lt;Q3,B12&gt;Q4)</f>
        <v>0</v>
      </c>
    </row>
    <row r="32" spans="1:27" x14ac:dyDescent="0.25">
      <c r="I32">
        <f>IF(OR(B12&lt;Q3,B12&gt;Q4),I33,I33+B19)</f>
        <v>3.2889026251525837E-4</v>
      </c>
    </row>
    <row r="33" spans="9:11" x14ac:dyDescent="0.25">
      <c r="I33" s="4">
        <f>((B18-B17)/(C4))*B12 + B17</f>
        <v>2.6637499999999584E-4</v>
      </c>
      <c r="K33">
        <f>((B19/(D7*C5))*B12+I33)</f>
        <v>4.0276143009768013E-2</v>
      </c>
    </row>
    <row r="35" spans="9:11" x14ac:dyDescent="0.25">
      <c r="I35" s="4">
        <f>I33/C5</f>
        <v>10.654999999999832</v>
      </c>
    </row>
    <row r="36" spans="9:11" x14ac:dyDescent="0.25">
      <c r="K36" s="4"/>
    </row>
    <row r="37" spans="9:11" x14ac:dyDescent="0.25">
      <c r="I37" s="4"/>
    </row>
  </sheetData>
  <mergeCells count="12">
    <mergeCell ref="B19:C19"/>
    <mergeCell ref="A1:D1"/>
    <mergeCell ref="A11:D11"/>
    <mergeCell ref="F11:I11"/>
    <mergeCell ref="B12:C12"/>
    <mergeCell ref="G12:H12"/>
    <mergeCell ref="G13:H13"/>
    <mergeCell ref="A14:D14"/>
    <mergeCell ref="B15:C15"/>
    <mergeCell ref="B16:C16"/>
    <mergeCell ref="B17:C17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 Afzal</dc:creator>
  <cp:lastModifiedBy>Hamza Afzal</cp:lastModifiedBy>
  <cp:lastPrinted>2013-11-11T23:41:21Z</cp:lastPrinted>
  <dcterms:created xsi:type="dcterms:W3CDTF">2013-11-11T17:57:04Z</dcterms:created>
  <dcterms:modified xsi:type="dcterms:W3CDTF">2015-03-03T22:05:34Z</dcterms:modified>
</cp:coreProperties>
</file>